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omments1.xml" ContentType="application/vnd.openxmlformats-officedocument.spreadsheetml.comment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codeName="DieseArbeitsmappe"/>
  <mc:AlternateContent xmlns:mc="http://schemas.openxmlformats.org/markup-compatibility/2006">
    <mc:Choice Requires="x15">
      <x15ac:absPath xmlns:x15ac="http://schemas.microsoft.com/office/spreadsheetml/2010/11/ac" url="D:\9999\2xxx 00 sustainability\2020 Excel mit Schiebern neu\"/>
    </mc:Choice>
  </mc:AlternateContent>
  <xr:revisionPtr revIDLastSave="0" documentId="13_ncr:1_{2619CE54-6C94-49AA-86DA-D7A1983368B1}" xr6:coauthVersionLast="36" xr6:coauthVersionMax="36" xr10:uidLastSave="{00000000-0000-0000-0000-000000000000}"/>
  <workbookProtection workbookPassword="F8DD" lockStructure="1"/>
  <bookViews>
    <workbookView xWindow="0" yWindow="0" windowWidth="23040" windowHeight="9972" xr2:uid="{00000000-000D-0000-FFFF-FFFF00000000}"/>
  </bookViews>
  <sheets>
    <sheet name="control" sheetId="11" r:id="rId1"/>
    <sheet name="how to use" sheetId="10" r:id="rId2"/>
    <sheet name="scenarios" sheetId="9" r:id="rId3"/>
    <sheet name="data sources" sheetId="1" r:id="rId4"/>
    <sheet name="intermediates" sheetId="8" r:id="rId5"/>
    <sheet name="data" sheetId="7" r:id="rId6"/>
    <sheet name="texts" sheetId="2" state="veryHidden" r:id="rId7"/>
    <sheet name="evaluations" sheetId="3" r:id="rId8"/>
    <sheet name="historical carbon budget" sheetId="4" state="veryHidden" r:id="rId9"/>
    <sheet name="conversions" sheetId="5" r:id="rId10"/>
    <sheet name="checks" sheetId="6" state="veryHidden" r:id="rId11"/>
  </sheets>
  <definedNames>
    <definedName name="solver_adj" localSheetId="0" hidden="1">control!$D$11</definedName>
    <definedName name="solver_cvg" localSheetId="0" hidden="1">0.000000001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control!$E$19</definedName>
    <definedName name="solver_pre" localSheetId="0" hidden="1">0.0000000001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91029"/>
  <customWorkbookViews>
    <customWorkbookView name="standard" guid="{19166E14-FA2C-4A8E-94B4-58FB50E3C2AB}" maximized="1" xWindow="-9" yWindow="-9" windowWidth="1938" windowHeight="1098" activeSheetId="11"/>
    <customWorkbookView name="lean" guid="{A04E2617-7092-4ACA-9C80-BFC49C4921F8}" maximized="1" xWindow="-9" yWindow="-9" windowWidth="1938" windowHeight="1098" activeSheetId="11" showFormulaBar="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22" i="7" l="1"/>
  <c r="CW23" i="7"/>
  <c r="CW24" i="7"/>
  <c r="CW25" i="7"/>
  <c r="CW26" i="7"/>
  <c r="CW27" i="7"/>
  <c r="CW28" i="7"/>
  <c r="CW29" i="7"/>
  <c r="CW30" i="7"/>
  <c r="CW31" i="7"/>
  <c r="CW32" i="7"/>
  <c r="CW33" i="7"/>
  <c r="CW34" i="7"/>
  <c r="CW35" i="7"/>
  <c r="CW36" i="7"/>
  <c r="CW37" i="7"/>
  <c r="CW38" i="7"/>
  <c r="CW39" i="7"/>
  <c r="CW40" i="7"/>
  <c r="CW41" i="7"/>
  <c r="CW42" i="7"/>
  <c r="CW43" i="7"/>
  <c r="CW44" i="7"/>
  <c r="CW45" i="7"/>
  <c r="CW46" i="7"/>
  <c r="CW47" i="7"/>
  <c r="CW48" i="7"/>
  <c r="CW49" i="7"/>
  <c r="CW50" i="7"/>
  <c r="CW51" i="7"/>
  <c r="CW52" i="7"/>
  <c r="CW53" i="7"/>
  <c r="CW54" i="7"/>
  <c r="CW55" i="7"/>
  <c r="CW56" i="7"/>
  <c r="CW57" i="7"/>
  <c r="CW58" i="7"/>
  <c r="CW59" i="7"/>
  <c r="CW60" i="7"/>
  <c r="CW61" i="7"/>
  <c r="CW62" i="7"/>
  <c r="CW63" i="7"/>
  <c r="CW64" i="7"/>
  <c r="CW65" i="7"/>
  <c r="CW66" i="7"/>
  <c r="CW67" i="7"/>
  <c r="CW68" i="7"/>
  <c r="CW69" i="7"/>
  <c r="CW70" i="7"/>
  <c r="CW71" i="7"/>
  <c r="CW72" i="7"/>
  <c r="CW73" i="7"/>
  <c r="CW74" i="7"/>
  <c r="CW21" i="7"/>
  <c r="CY21" i="7"/>
  <c r="CY22" i="7"/>
  <c r="CY23" i="7"/>
  <c r="CY24" i="7"/>
  <c r="CY25" i="7"/>
  <c r="CY26" i="7"/>
  <c r="CY27" i="7"/>
  <c r="CY28" i="7"/>
  <c r="CY29" i="7"/>
  <c r="CY30" i="7"/>
  <c r="CY31" i="7"/>
  <c r="CY32" i="7"/>
  <c r="CY33" i="7"/>
  <c r="CY34" i="7"/>
  <c r="CY35" i="7"/>
  <c r="CY36" i="7"/>
  <c r="CY37" i="7"/>
  <c r="CY38" i="7"/>
  <c r="CY39" i="7"/>
  <c r="CY40" i="7"/>
  <c r="CY41" i="7"/>
  <c r="CY42" i="7"/>
  <c r="CY43" i="7"/>
  <c r="CY44" i="7"/>
  <c r="CY45" i="7"/>
  <c r="CY46" i="7"/>
  <c r="CY47" i="7"/>
  <c r="CY48" i="7"/>
  <c r="CY49" i="7"/>
  <c r="CY50" i="7"/>
  <c r="CY51" i="7"/>
  <c r="CY52" i="7"/>
  <c r="CY53" i="7"/>
  <c r="CY54" i="7"/>
  <c r="CY55" i="7"/>
  <c r="CY56" i="7"/>
  <c r="CY57" i="7"/>
  <c r="CY58" i="7"/>
  <c r="CY59" i="7"/>
  <c r="CY60" i="7"/>
  <c r="CY61" i="7"/>
  <c r="CY62" i="7"/>
  <c r="CY63" i="7"/>
  <c r="CY64" i="7"/>
  <c r="CY65" i="7"/>
  <c r="CY66" i="7"/>
  <c r="CY67" i="7"/>
  <c r="CY68" i="7"/>
  <c r="CY69" i="7"/>
  <c r="CY70" i="7"/>
  <c r="CY71" i="7"/>
  <c r="CY72" i="7"/>
  <c r="CY73" i="7"/>
  <c r="CY74" i="7"/>
  <c r="L61" i="3" l="1"/>
  <c r="K57" i="3"/>
  <c r="K58" i="3"/>
  <c r="K59" i="3"/>
  <c r="K60" i="3"/>
  <c r="J58" i="3"/>
  <c r="L58" i="3" s="1"/>
  <c r="J59" i="3"/>
  <c r="L59" i="3" s="1"/>
  <c r="J60" i="3"/>
  <c r="L60" i="3" s="1"/>
  <c r="J57" i="3"/>
  <c r="L57" i="3" s="1"/>
  <c r="F58" i="3"/>
  <c r="G60" i="3"/>
  <c r="F60" i="3"/>
  <c r="I60" i="3"/>
  <c r="H60" i="3"/>
  <c r="G59" i="3"/>
  <c r="F59" i="3"/>
  <c r="I59" i="3"/>
  <c r="H59" i="3"/>
  <c r="G58" i="3"/>
  <c r="I58" i="3"/>
  <c r="H58" i="3"/>
  <c r="G57" i="3"/>
  <c r="F57" i="3"/>
  <c r="I57" i="3"/>
  <c r="H57" i="3"/>
  <c r="B46" i="3" l="1"/>
  <c r="B44" i="3"/>
  <c r="B42" i="3"/>
  <c r="EF77" i="7"/>
  <c r="B71" i="8"/>
  <c r="Z79" i="3" l="1"/>
  <c r="AA70" i="3"/>
  <c r="H107" i="3"/>
  <c r="G107" i="3"/>
  <c r="B82" i="8" l="1"/>
  <c r="D6" i="7" l="1"/>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AH74" i="7" l="1"/>
  <c r="AH75" i="7" s="1"/>
  <c r="AH76" i="7" s="1"/>
  <c r="AH77" i="7" s="1"/>
  <c r="AA90" i="3" l="1"/>
  <c r="AA91" i="3"/>
  <c r="O34" i="3" l="1"/>
  <c r="Q34" i="3" s="1"/>
  <c r="F98" i="3"/>
  <c r="E98" i="3"/>
  <c r="D98" i="3"/>
  <c r="C98" i="3"/>
  <c r="U97" i="3"/>
  <c r="S97" i="3"/>
  <c r="Q97" i="3"/>
  <c r="U96" i="3"/>
  <c r="S96" i="3"/>
  <c r="Q96" i="3"/>
  <c r="U95" i="3"/>
  <c r="S95" i="3"/>
  <c r="Q95" i="3"/>
  <c r="U94" i="3"/>
  <c r="S94" i="3"/>
  <c r="Q94" i="3"/>
  <c r="U93" i="3"/>
  <c r="S93" i="3"/>
  <c r="AA92" i="3" s="1"/>
  <c r="AC92" i="3" s="1"/>
  <c r="Q93" i="3"/>
  <c r="Y92" i="3" s="1"/>
  <c r="Y98" i="3" s="1"/>
  <c r="U92" i="3"/>
  <c r="S92" i="3"/>
  <c r="Q92" i="3"/>
  <c r="Y91" i="3"/>
  <c r="Y97" i="3" s="1"/>
  <c r="U91" i="3"/>
  <c r="S91" i="3"/>
  <c r="Q91" i="3"/>
  <c r="Y90" i="3"/>
  <c r="U90" i="3"/>
  <c r="S90" i="3"/>
  <c r="Q90" i="3"/>
  <c r="U89" i="3"/>
  <c r="S89" i="3"/>
  <c r="Q89" i="3"/>
  <c r="U88" i="3"/>
  <c r="S88" i="3"/>
  <c r="Q88" i="3"/>
  <c r="O80" i="3"/>
  <c r="N80" i="3"/>
  <c r="H80" i="3"/>
  <c r="G80" i="3"/>
  <c r="E80" i="3"/>
  <c r="D80" i="3"/>
  <c r="C80" i="3"/>
  <c r="B80" i="3"/>
  <c r="S78" i="3"/>
  <c r="AA73" i="3" s="1"/>
  <c r="AA79" i="3" s="1"/>
  <c r="Q78" i="3"/>
  <c r="Y73" i="3" s="1"/>
  <c r="F78" i="3"/>
  <c r="T77" i="3"/>
  <c r="AB72" i="3" s="1"/>
  <c r="AB78" i="3" s="1"/>
  <c r="S77" i="3"/>
  <c r="R77" i="3"/>
  <c r="Q77" i="3"/>
  <c r="Y72" i="3" s="1"/>
  <c r="I77" i="3"/>
  <c r="F77" i="3"/>
  <c r="T76" i="3"/>
  <c r="S76" i="3"/>
  <c r="R76" i="3"/>
  <c r="Q76" i="3"/>
  <c r="U76" i="3" s="1"/>
  <c r="I76" i="3"/>
  <c r="F76" i="3"/>
  <c r="T75" i="3"/>
  <c r="S75" i="3"/>
  <c r="R75" i="3"/>
  <c r="Q75" i="3"/>
  <c r="I75" i="3"/>
  <c r="F75" i="3"/>
  <c r="T74" i="3"/>
  <c r="S74" i="3"/>
  <c r="R74" i="3"/>
  <c r="Q74" i="3"/>
  <c r="I74" i="3"/>
  <c r="F74" i="3"/>
  <c r="T73" i="3"/>
  <c r="S73" i="3"/>
  <c r="R73" i="3"/>
  <c r="Q73" i="3"/>
  <c r="I73" i="3"/>
  <c r="F73" i="3"/>
  <c r="T72" i="3"/>
  <c r="S72" i="3"/>
  <c r="R72" i="3"/>
  <c r="Q72" i="3"/>
  <c r="I72" i="3"/>
  <c r="F72" i="3"/>
  <c r="AB71" i="3"/>
  <c r="AB77" i="3" s="1"/>
  <c r="AA71" i="3"/>
  <c r="AA77" i="3" s="1"/>
  <c r="T71" i="3"/>
  <c r="S71" i="3"/>
  <c r="R71" i="3"/>
  <c r="Q71" i="3"/>
  <c r="I71" i="3"/>
  <c r="F71" i="3"/>
  <c r="AB70" i="3"/>
  <c r="AB76" i="3" s="1"/>
  <c r="AA76" i="3"/>
  <c r="T70" i="3"/>
  <c r="S70" i="3"/>
  <c r="V70" i="3" s="1"/>
  <c r="R70" i="3"/>
  <c r="Q70" i="3"/>
  <c r="I70" i="3"/>
  <c r="F70" i="3"/>
  <c r="V74" i="3" l="1"/>
  <c r="Y96" i="3"/>
  <c r="AC90" i="3"/>
  <c r="U70" i="3"/>
  <c r="U74" i="3"/>
  <c r="V75" i="3"/>
  <c r="AC91" i="3"/>
  <c r="U77" i="3"/>
  <c r="V72" i="3"/>
  <c r="U75" i="3"/>
  <c r="V76" i="3"/>
  <c r="U71" i="3"/>
  <c r="U72" i="3"/>
  <c r="V77" i="3"/>
  <c r="Y71" i="3"/>
  <c r="AC71" i="3" s="1"/>
  <c r="I80" i="3"/>
  <c r="Z70" i="3"/>
  <c r="U73" i="3"/>
  <c r="V71" i="3"/>
  <c r="V73" i="3"/>
  <c r="F80" i="3"/>
  <c r="Y79" i="3"/>
  <c r="AC73" i="3"/>
  <c r="Z72" i="3"/>
  <c r="AA72" i="3"/>
  <c r="AA78" i="3" s="1"/>
  <c r="Y78" i="3"/>
  <c r="Z71" i="3"/>
  <c r="Y70" i="3"/>
  <c r="Y76" i="3" s="1"/>
  <c r="AC76" i="3" s="1"/>
  <c r="AC78" i="3" l="1"/>
  <c r="Y77" i="3"/>
  <c r="AC77" i="3" s="1"/>
  <c r="AC72" i="3"/>
  <c r="AD71" i="3"/>
  <c r="Z77" i="3"/>
  <c r="AD77" i="3" s="1"/>
  <c r="AD83" i="3" s="1"/>
  <c r="AD70" i="3"/>
  <c r="Z76" i="3"/>
  <c r="AD76" i="3" s="1"/>
  <c r="AD82" i="3" s="1"/>
  <c r="AC79" i="3"/>
  <c r="AD79" i="3" s="1"/>
  <c r="Y111" i="3"/>
  <c r="AB79" i="3"/>
  <c r="AD72" i="3"/>
  <c r="Z78" i="3"/>
  <c r="AD78" i="3" s="1"/>
  <c r="AC70" i="3"/>
  <c r="AC83" i="3" l="1"/>
  <c r="AC82" i="3"/>
  <c r="B57" i="8"/>
  <c r="FB70" i="7"/>
  <c r="FB71" i="7"/>
  <c r="FB72" i="7"/>
  <c r="FB73" i="7"/>
  <c r="FB74" i="7"/>
  <c r="FB75" i="7"/>
  <c r="FB76" i="7"/>
  <c r="FB77" i="7"/>
  <c r="FB78" i="7"/>
  <c r="FB79" i="7"/>
  <c r="FB80" i="7"/>
  <c r="FB81" i="7"/>
  <c r="FB82" i="7"/>
  <c r="FB83" i="7"/>
  <c r="FB84" i="7"/>
  <c r="FB85" i="7"/>
  <c r="FB86" i="7"/>
  <c r="FB87" i="7"/>
  <c r="FB88" i="7"/>
  <c r="FB89" i="7"/>
  <c r="FB90" i="7"/>
  <c r="FB91" i="7"/>
  <c r="FB92" i="7"/>
  <c r="FB93" i="7"/>
  <c r="FB94" i="7"/>
  <c r="FB95" i="7"/>
  <c r="FB96" i="7"/>
  <c r="FB97" i="7"/>
  <c r="FB98" i="7"/>
  <c r="FB99" i="7"/>
  <c r="FB100" i="7"/>
  <c r="FB101" i="7"/>
  <c r="FB102" i="7"/>
  <c r="FB103" i="7"/>
  <c r="FB104" i="7"/>
  <c r="FB105" i="7"/>
  <c r="FB106" i="7"/>
  <c r="FB107" i="7"/>
  <c r="FB108" i="7"/>
  <c r="FB109" i="7"/>
  <c r="FB110" i="7"/>
  <c r="FB111" i="7"/>
  <c r="FB112" i="7"/>
  <c r="FB113" i="7"/>
  <c r="FB114" i="7"/>
  <c r="FB115" i="7"/>
  <c r="FB116" i="7"/>
  <c r="FB117" i="7"/>
  <c r="FB118" i="7"/>
  <c r="FB119" i="7"/>
  <c r="FB120" i="7"/>
  <c r="FB121" i="7"/>
  <c r="FB122" i="7"/>
  <c r="FB123" i="7"/>
  <c r="FB124" i="7"/>
  <c r="FB125" i="7"/>
  <c r="FB126" i="7"/>
  <c r="FB127" i="7"/>
  <c r="FB128" i="7"/>
  <c r="FB129" i="7"/>
  <c r="FB130" i="7"/>
  <c r="FB131" i="7"/>
  <c r="FB132" i="7"/>
  <c r="FB133" i="7"/>
  <c r="FB134" i="7"/>
  <c r="FB135" i="7"/>
  <c r="FB136" i="7"/>
  <c r="FB137" i="7"/>
  <c r="FB138" i="7"/>
  <c r="FB139" i="7"/>
  <c r="FB140" i="7"/>
  <c r="FB141" i="7"/>
  <c r="FB142" i="7"/>
  <c r="FB143" i="7"/>
  <c r="FB144" i="7"/>
  <c r="FB145" i="7"/>
  <c r="FB146" i="7"/>
  <c r="FB147" i="7"/>
  <c r="FB148" i="7"/>
  <c r="FB149" i="7"/>
  <c r="FB150" i="7"/>
  <c r="FB151" i="7"/>
  <c r="FB152" i="7"/>
  <c r="FB153" i="7"/>
  <c r="FB154" i="7"/>
  <c r="FB155" i="7"/>
  <c r="FB156" i="7"/>
  <c r="B68" i="8"/>
  <c r="E13" i="11" s="1"/>
  <c r="B67" i="8"/>
  <c r="E12" i="11" s="1"/>
  <c r="B86" i="8" l="1"/>
  <c r="C16" i="5" l="1"/>
  <c r="C15" i="5"/>
  <c r="B25" i="8"/>
  <c r="E10" i="11" s="1"/>
  <c r="BO74" i="7" l="1"/>
  <c r="BX74" i="7" l="1"/>
  <c r="AW74" i="7"/>
  <c r="FU17" i="7" l="1"/>
  <c r="FU18" i="7"/>
  <c r="FU19" i="7"/>
  <c r="FU20" i="7"/>
  <c r="FU21" i="7"/>
  <c r="FU22" i="7"/>
  <c r="FU23" i="7"/>
  <c r="FU24" i="7"/>
  <c r="FU25" i="7"/>
  <c r="FU26" i="7"/>
  <c r="FU27" i="7"/>
  <c r="FU28" i="7"/>
  <c r="FU29" i="7"/>
  <c r="FU30" i="7"/>
  <c r="FU31" i="7"/>
  <c r="FU32" i="7"/>
  <c r="FU33" i="7"/>
  <c r="FU34" i="7"/>
  <c r="FU35" i="7"/>
  <c r="FU36" i="7"/>
  <c r="FU37" i="7"/>
  <c r="FU38" i="7"/>
  <c r="FU39" i="7"/>
  <c r="FU40" i="7"/>
  <c r="FU41" i="7"/>
  <c r="FU42" i="7"/>
  <c r="FU43" i="7"/>
  <c r="FU44" i="7"/>
  <c r="FU45" i="7"/>
  <c r="CK22" i="7"/>
  <c r="CK23" i="7"/>
  <c r="CK24" i="7"/>
  <c r="CK25" i="7"/>
  <c r="CK26" i="7"/>
  <c r="CK27" i="7"/>
  <c r="CK28" i="7"/>
  <c r="CK29" i="7"/>
  <c r="CK30" i="7"/>
  <c r="CK31" i="7"/>
  <c r="CK32" i="7"/>
  <c r="CK33" i="7"/>
  <c r="CK34" i="7"/>
  <c r="CK35" i="7"/>
  <c r="CK36" i="7"/>
  <c r="CK37" i="7"/>
  <c r="CK38" i="7"/>
  <c r="CK39" i="7"/>
  <c r="CK40" i="7"/>
  <c r="CK41" i="7"/>
  <c r="CK42" i="7"/>
  <c r="CK43" i="7"/>
  <c r="CK44" i="7"/>
  <c r="CK45" i="7"/>
  <c r="CK21" i="7"/>
  <c r="B24" i="8" l="1"/>
  <c r="B26" i="8" s="1"/>
  <c r="B27" i="8" l="1"/>
  <c r="E9" i="11"/>
  <c r="I2" i="11"/>
  <c r="FI156" i="7" l="1"/>
  <c r="FJ156" i="7" s="1"/>
  <c r="FF156" i="7"/>
  <c r="FG156" i="7" s="1"/>
  <c r="EF156" i="7"/>
  <c r="FI155" i="7"/>
  <c r="FJ155" i="7" s="1"/>
  <c r="FF155" i="7"/>
  <c r="EF155" i="7"/>
  <c r="FI154" i="7"/>
  <c r="FJ154" i="7" s="1"/>
  <c r="FF154" i="7"/>
  <c r="FG154" i="7" s="1"/>
  <c r="EF154" i="7"/>
  <c r="FI153" i="7"/>
  <c r="FJ153" i="7" s="1"/>
  <c r="FF153" i="7"/>
  <c r="FG153" i="7" s="1"/>
  <c r="EF153" i="7"/>
  <c r="FI152" i="7"/>
  <c r="FF152" i="7"/>
  <c r="FG152" i="7" s="1"/>
  <c r="EF152" i="7"/>
  <c r="FI151" i="7"/>
  <c r="FJ151" i="7" s="1"/>
  <c r="FF151" i="7"/>
  <c r="FG151" i="7" s="1"/>
  <c r="EF151" i="7"/>
  <c r="FI150" i="7"/>
  <c r="FJ150" i="7" s="1"/>
  <c r="FF150" i="7"/>
  <c r="FG150" i="7" s="1"/>
  <c r="EF150" i="7"/>
  <c r="FI149" i="7"/>
  <c r="FJ149" i="7" s="1"/>
  <c r="FF149" i="7"/>
  <c r="FG149" i="7" s="1"/>
  <c r="EF149" i="7"/>
  <c r="FI148" i="7"/>
  <c r="FJ148" i="7" s="1"/>
  <c r="FF148" i="7"/>
  <c r="FG148" i="7" s="1"/>
  <c r="EF148" i="7"/>
  <c r="FI147" i="7"/>
  <c r="FJ147" i="7" s="1"/>
  <c r="FF147" i="7"/>
  <c r="FG147" i="7" s="1"/>
  <c r="EF147" i="7"/>
  <c r="FI146" i="7"/>
  <c r="FJ146" i="7" s="1"/>
  <c r="FF146" i="7"/>
  <c r="FG146" i="7" s="1"/>
  <c r="EF146" i="7"/>
  <c r="FI145" i="7"/>
  <c r="FJ145" i="7" s="1"/>
  <c r="FF145" i="7"/>
  <c r="FG145" i="7" s="1"/>
  <c r="EF145" i="7"/>
  <c r="FI144" i="7"/>
  <c r="FJ144" i="7" s="1"/>
  <c r="FF144" i="7"/>
  <c r="FG144" i="7" s="1"/>
  <c r="EF144" i="7"/>
  <c r="FI143" i="7"/>
  <c r="FJ143" i="7" s="1"/>
  <c r="FF143" i="7"/>
  <c r="FG143" i="7" s="1"/>
  <c r="EF143" i="7"/>
  <c r="FI142" i="7"/>
  <c r="FJ142" i="7" s="1"/>
  <c r="FF142" i="7"/>
  <c r="FG142" i="7" s="1"/>
  <c r="EF142" i="7"/>
  <c r="FI141" i="7"/>
  <c r="FJ141" i="7" s="1"/>
  <c r="FF141" i="7"/>
  <c r="FG141" i="7" s="1"/>
  <c r="EF141" i="7"/>
  <c r="FI140" i="7"/>
  <c r="FJ140" i="7" s="1"/>
  <c r="FF140" i="7"/>
  <c r="FG140" i="7" s="1"/>
  <c r="EF140" i="7"/>
  <c r="FI139" i="7"/>
  <c r="FJ139" i="7" s="1"/>
  <c r="FF139" i="7"/>
  <c r="FG139" i="7" s="1"/>
  <c r="EF139" i="7"/>
  <c r="FI138" i="7"/>
  <c r="FJ138" i="7" s="1"/>
  <c r="FF138" i="7"/>
  <c r="FG138" i="7" s="1"/>
  <c r="EF138" i="7"/>
  <c r="FI137" i="7"/>
  <c r="FJ137" i="7" s="1"/>
  <c r="FF137" i="7"/>
  <c r="FG137" i="7" s="1"/>
  <c r="EF137" i="7"/>
  <c r="FI136" i="7"/>
  <c r="FJ136" i="7" s="1"/>
  <c r="FF136" i="7"/>
  <c r="FG136" i="7" s="1"/>
  <c r="EF136" i="7"/>
  <c r="FI135" i="7"/>
  <c r="FJ135" i="7" s="1"/>
  <c r="FF135" i="7"/>
  <c r="FG135" i="7" s="1"/>
  <c r="EF135" i="7"/>
  <c r="FI134" i="7"/>
  <c r="FJ134" i="7" s="1"/>
  <c r="FF134" i="7"/>
  <c r="FG134" i="7" s="1"/>
  <c r="EF134" i="7"/>
  <c r="FI133" i="7"/>
  <c r="FJ133" i="7" s="1"/>
  <c r="FF133" i="7"/>
  <c r="FG133" i="7" s="1"/>
  <c r="EF133" i="7"/>
  <c r="FI132" i="7"/>
  <c r="FJ132" i="7" s="1"/>
  <c r="FF132" i="7"/>
  <c r="FG132" i="7" s="1"/>
  <c r="EF132" i="7"/>
  <c r="FI131" i="7"/>
  <c r="FJ131" i="7" s="1"/>
  <c r="FF131" i="7"/>
  <c r="FG131" i="7" s="1"/>
  <c r="EF131" i="7"/>
  <c r="FI130" i="7"/>
  <c r="FJ130" i="7" s="1"/>
  <c r="FF130" i="7"/>
  <c r="FG130" i="7" s="1"/>
  <c r="EF130" i="7"/>
  <c r="FI129" i="7"/>
  <c r="FJ129" i="7" s="1"/>
  <c r="FF129" i="7"/>
  <c r="FG129" i="7" s="1"/>
  <c r="EF129" i="7"/>
  <c r="FI128" i="7"/>
  <c r="FJ128" i="7" s="1"/>
  <c r="FF128" i="7"/>
  <c r="FG128" i="7" s="1"/>
  <c r="EF128" i="7"/>
  <c r="FI127" i="7"/>
  <c r="FJ127" i="7" s="1"/>
  <c r="FF127" i="7"/>
  <c r="FG127" i="7" s="1"/>
  <c r="EF127" i="7"/>
  <c r="FI126" i="7"/>
  <c r="FJ126" i="7" s="1"/>
  <c r="FF126" i="7"/>
  <c r="FG126" i="7" s="1"/>
  <c r="EF126" i="7"/>
  <c r="FI125" i="7"/>
  <c r="FJ125" i="7" s="1"/>
  <c r="FF125" i="7"/>
  <c r="FG125" i="7" s="1"/>
  <c r="EF125" i="7"/>
  <c r="FI124" i="7"/>
  <c r="FJ124" i="7" s="1"/>
  <c r="FF124" i="7"/>
  <c r="FG124" i="7" s="1"/>
  <c r="EF124" i="7"/>
  <c r="FI123" i="7"/>
  <c r="FJ123" i="7" s="1"/>
  <c r="FF123" i="7"/>
  <c r="FG123" i="7" s="1"/>
  <c r="EF123" i="7"/>
  <c r="FI122" i="7"/>
  <c r="FJ122" i="7" s="1"/>
  <c r="FF122" i="7"/>
  <c r="FG122" i="7" s="1"/>
  <c r="EF122" i="7"/>
  <c r="FI121" i="7"/>
  <c r="FJ121" i="7" s="1"/>
  <c r="FF121" i="7"/>
  <c r="FG121" i="7" s="1"/>
  <c r="EF121" i="7"/>
  <c r="FI120" i="7"/>
  <c r="FJ120" i="7" s="1"/>
  <c r="FF120" i="7"/>
  <c r="FG120" i="7" s="1"/>
  <c r="EF120" i="7"/>
  <c r="FI119" i="7"/>
  <c r="FJ119" i="7" s="1"/>
  <c r="FF119" i="7"/>
  <c r="FG119" i="7" s="1"/>
  <c r="EF119" i="7"/>
  <c r="FI118" i="7"/>
  <c r="FJ118" i="7" s="1"/>
  <c r="FF118" i="7"/>
  <c r="FG118" i="7" s="1"/>
  <c r="EF118" i="7"/>
  <c r="FI117" i="7"/>
  <c r="FJ117" i="7" s="1"/>
  <c r="FF117" i="7"/>
  <c r="FG117" i="7" s="1"/>
  <c r="EF117" i="7"/>
  <c r="FI116" i="7"/>
  <c r="FJ116" i="7" s="1"/>
  <c r="FF116" i="7"/>
  <c r="FG116" i="7" s="1"/>
  <c r="EF116" i="7"/>
  <c r="FI115" i="7"/>
  <c r="FJ115" i="7" s="1"/>
  <c r="FF115" i="7"/>
  <c r="FG115" i="7" s="1"/>
  <c r="EF115" i="7"/>
  <c r="FI114" i="7"/>
  <c r="FJ114" i="7" s="1"/>
  <c r="FF114" i="7"/>
  <c r="FG114" i="7" s="1"/>
  <c r="EF114" i="7"/>
  <c r="FI113" i="7"/>
  <c r="FJ113" i="7" s="1"/>
  <c r="FF113" i="7"/>
  <c r="FG113" i="7" s="1"/>
  <c r="EF113" i="7"/>
  <c r="FI112" i="7"/>
  <c r="FJ112" i="7" s="1"/>
  <c r="FF112" i="7"/>
  <c r="FG112" i="7" s="1"/>
  <c r="EF112" i="7"/>
  <c r="FI111" i="7"/>
  <c r="FJ111" i="7" s="1"/>
  <c r="FF111" i="7"/>
  <c r="FG111" i="7" s="1"/>
  <c r="EF111" i="7"/>
  <c r="FI110" i="7"/>
  <c r="FJ110" i="7" s="1"/>
  <c r="FF110" i="7"/>
  <c r="FG110" i="7" s="1"/>
  <c r="EF110" i="7"/>
  <c r="FI109" i="7"/>
  <c r="FJ109" i="7" s="1"/>
  <c r="FF109" i="7"/>
  <c r="FG109" i="7" s="1"/>
  <c r="EF109" i="7"/>
  <c r="FI108" i="7"/>
  <c r="FJ108" i="7" s="1"/>
  <c r="FF108" i="7"/>
  <c r="FG108" i="7" s="1"/>
  <c r="EF108" i="7"/>
  <c r="FI107" i="7"/>
  <c r="FJ107" i="7" s="1"/>
  <c r="FF107" i="7"/>
  <c r="FG107" i="7" s="1"/>
  <c r="EF107" i="7"/>
  <c r="FI106" i="7"/>
  <c r="FJ106" i="7" s="1"/>
  <c r="FF106" i="7"/>
  <c r="FG106" i="7" s="1"/>
  <c r="EF106" i="7"/>
  <c r="FI105" i="7"/>
  <c r="FJ105" i="7" s="1"/>
  <c r="FF105" i="7"/>
  <c r="FG105" i="7" s="1"/>
  <c r="EF105" i="7"/>
  <c r="FI104" i="7"/>
  <c r="FJ104" i="7" s="1"/>
  <c r="FF104" i="7"/>
  <c r="FG104" i="7" s="1"/>
  <c r="EF104" i="7"/>
  <c r="FI103" i="7"/>
  <c r="FJ103" i="7" s="1"/>
  <c r="FF103" i="7"/>
  <c r="FG103" i="7" s="1"/>
  <c r="EF103" i="7"/>
  <c r="FI102" i="7"/>
  <c r="FJ102" i="7" s="1"/>
  <c r="FF102" i="7"/>
  <c r="FG102" i="7" s="1"/>
  <c r="EF102" i="7"/>
  <c r="FI101" i="7"/>
  <c r="FJ101" i="7" s="1"/>
  <c r="FF101" i="7"/>
  <c r="FG101" i="7" s="1"/>
  <c r="EF101" i="7"/>
  <c r="FI100" i="7"/>
  <c r="FJ100" i="7" s="1"/>
  <c r="FF100" i="7"/>
  <c r="FG100" i="7" s="1"/>
  <c r="EF100" i="7"/>
  <c r="FI99" i="7"/>
  <c r="FJ99" i="7" s="1"/>
  <c r="FF99" i="7"/>
  <c r="FG99" i="7" s="1"/>
  <c r="EF99" i="7"/>
  <c r="FI98" i="7"/>
  <c r="FJ98" i="7" s="1"/>
  <c r="FF98" i="7"/>
  <c r="FG98" i="7" s="1"/>
  <c r="EF98" i="7"/>
  <c r="FI97" i="7"/>
  <c r="FJ97" i="7" s="1"/>
  <c r="FF97" i="7"/>
  <c r="FG97" i="7" s="1"/>
  <c r="EF97" i="7"/>
  <c r="FI96" i="7"/>
  <c r="FJ96" i="7" s="1"/>
  <c r="FF96" i="7"/>
  <c r="FG96" i="7" s="1"/>
  <c r="EF96" i="7"/>
  <c r="FI95" i="7"/>
  <c r="FJ95" i="7" s="1"/>
  <c r="FF95" i="7"/>
  <c r="FG95" i="7" s="1"/>
  <c r="EF95" i="7"/>
  <c r="FI94" i="7"/>
  <c r="FJ94" i="7" s="1"/>
  <c r="FF94" i="7"/>
  <c r="FG94" i="7" s="1"/>
  <c r="EF94" i="7"/>
  <c r="FI93" i="7"/>
  <c r="FJ93" i="7" s="1"/>
  <c r="FF93" i="7"/>
  <c r="FG93" i="7" s="1"/>
  <c r="EF93" i="7"/>
  <c r="FI92" i="7"/>
  <c r="FJ92" i="7" s="1"/>
  <c r="FF92" i="7"/>
  <c r="FG92" i="7" s="1"/>
  <c r="EF92" i="7"/>
  <c r="FI91" i="7"/>
  <c r="FJ91" i="7" s="1"/>
  <c r="FF91" i="7"/>
  <c r="FG91" i="7" s="1"/>
  <c r="EF91" i="7"/>
  <c r="FI90" i="7"/>
  <c r="FJ90" i="7" s="1"/>
  <c r="FF90" i="7"/>
  <c r="FG90" i="7" s="1"/>
  <c r="EF90" i="7"/>
  <c r="FI89" i="7"/>
  <c r="FJ89" i="7" s="1"/>
  <c r="FF89" i="7"/>
  <c r="FG89" i="7" s="1"/>
  <c r="EF89" i="7"/>
  <c r="FI88" i="7"/>
  <c r="FJ88" i="7" s="1"/>
  <c r="FF88" i="7"/>
  <c r="FG88" i="7" s="1"/>
  <c r="EF88" i="7"/>
  <c r="FI87" i="7"/>
  <c r="FJ87" i="7" s="1"/>
  <c r="FF87" i="7"/>
  <c r="FG87" i="7" s="1"/>
  <c r="EF87" i="7"/>
  <c r="FI86" i="7"/>
  <c r="FJ86" i="7" s="1"/>
  <c r="FF86" i="7"/>
  <c r="FG86" i="7" s="1"/>
  <c r="EF86" i="7"/>
  <c r="FI85" i="7"/>
  <c r="FJ85" i="7" s="1"/>
  <c r="FF85" i="7"/>
  <c r="FG85" i="7" s="1"/>
  <c r="EF85" i="7"/>
  <c r="FI84" i="7"/>
  <c r="FJ84" i="7" s="1"/>
  <c r="FF84" i="7"/>
  <c r="FG84" i="7" s="1"/>
  <c r="EF84" i="7"/>
  <c r="FI83" i="7"/>
  <c r="FJ83" i="7" s="1"/>
  <c r="FF83" i="7"/>
  <c r="FG83" i="7" s="1"/>
  <c r="EF83" i="7"/>
  <c r="FI82" i="7"/>
  <c r="FJ82" i="7" s="1"/>
  <c r="FF82" i="7"/>
  <c r="FG82" i="7" s="1"/>
  <c r="EF82" i="7"/>
  <c r="FI81" i="7"/>
  <c r="FJ81" i="7" s="1"/>
  <c r="FF81" i="7"/>
  <c r="FG81" i="7" s="1"/>
  <c r="EF81" i="7"/>
  <c r="FI80" i="7"/>
  <c r="FJ80" i="7" s="1"/>
  <c r="FF80" i="7"/>
  <c r="FG80" i="7" s="1"/>
  <c r="EF80" i="7"/>
  <c r="FI79" i="7"/>
  <c r="FJ79" i="7" s="1"/>
  <c r="FF79" i="7"/>
  <c r="FG79" i="7" s="1"/>
  <c r="EF79" i="7"/>
  <c r="FI78" i="7"/>
  <c r="FJ78" i="7" s="1"/>
  <c r="FF78" i="7"/>
  <c r="FG78" i="7" s="1"/>
  <c r="EF78" i="7"/>
  <c r="FI77" i="7"/>
  <c r="FJ77" i="7" s="1"/>
  <c r="FF77" i="7"/>
  <c r="FG77" i="7" s="1"/>
  <c r="FI76" i="7"/>
  <c r="FJ76" i="7" s="1"/>
  <c r="FF76" i="7"/>
  <c r="FG76" i="7" s="1"/>
  <c r="EF76" i="7"/>
  <c r="FI75" i="7"/>
  <c r="FJ75" i="7" s="1"/>
  <c r="FF75" i="7"/>
  <c r="FG75" i="7" s="1"/>
  <c r="EF75" i="7"/>
  <c r="FI74" i="7"/>
  <c r="FJ74" i="7" s="1"/>
  <c r="FF74" i="7"/>
  <c r="FG74" i="7" s="1"/>
  <c r="EF74" i="7"/>
  <c r="AI74" i="7"/>
  <c r="AI75" i="7" s="1"/>
  <c r="AI76" i="7" s="1"/>
  <c r="AI77" i="7" s="1"/>
  <c r="AC74" i="7"/>
  <c r="AB74" i="7"/>
  <c r="FI73" i="7"/>
  <c r="FJ73" i="7" s="1"/>
  <c r="FF73" i="7"/>
  <c r="FG73" i="7" s="1"/>
  <c r="EF73" i="7"/>
  <c r="AI73" i="7"/>
  <c r="AH73" i="7"/>
  <c r="AC73" i="7"/>
  <c r="AB73" i="7"/>
  <c r="FI72" i="7"/>
  <c r="FJ72" i="7" s="1"/>
  <c r="FF72" i="7"/>
  <c r="FG72" i="7" s="1"/>
  <c r="EF72" i="7"/>
  <c r="AI72" i="7"/>
  <c r="AH72" i="7"/>
  <c r="AC72" i="7"/>
  <c r="AB72" i="7"/>
  <c r="FI71" i="7"/>
  <c r="FJ71" i="7" s="1"/>
  <c r="FF71" i="7"/>
  <c r="FG71" i="7" s="1"/>
  <c r="EF71" i="7"/>
  <c r="AI71" i="7"/>
  <c r="AH71" i="7"/>
  <c r="AC71" i="7"/>
  <c r="AB71" i="7"/>
  <c r="FI70" i="7"/>
  <c r="FJ70" i="7" s="1"/>
  <c r="FF70" i="7"/>
  <c r="FG70" i="7" s="1"/>
  <c r="EF70" i="7"/>
  <c r="AI70" i="7"/>
  <c r="AH70" i="7"/>
  <c r="AC70" i="7"/>
  <c r="AB70" i="7"/>
  <c r="AI69" i="7"/>
  <c r="AH69" i="7"/>
  <c r="AC69" i="7"/>
  <c r="AB69" i="7"/>
  <c r="AI68" i="7"/>
  <c r="AH68" i="7"/>
  <c r="AC68" i="7"/>
  <c r="AB68" i="7"/>
  <c r="AI67" i="7"/>
  <c r="AH67" i="7"/>
  <c r="AC67" i="7"/>
  <c r="AB67" i="7"/>
  <c r="CZ66" i="7"/>
  <c r="AI66" i="7"/>
  <c r="AH66" i="7"/>
  <c r="AC66" i="7"/>
  <c r="AB66" i="7"/>
  <c r="CZ65" i="7"/>
  <c r="AI65" i="7"/>
  <c r="AH65" i="7"/>
  <c r="AC65" i="7"/>
  <c r="AB65" i="7"/>
  <c r="CZ64" i="7"/>
  <c r="AI64" i="7"/>
  <c r="AH64" i="7"/>
  <c r="AC64" i="7"/>
  <c r="AB64" i="7"/>
  <c r="CZ63" i="7"/>
  <c r="AI63" i="7"/>
  <c r="AH63" i="7"/>
  <c r="AC63" i="7"/>
  <c r="AB63" i="7"/>
  <c r="CZ62" i="7"/>
  <c r="AI62" i="7"/>
  <c r="AH62" i="7"/>
  <c r="AC62" i="7"/>
  <c r="AB62" i="7"/>
  <c r="CZ61" i="7"/>
  <c r="AI61" i="7"/>
  <c r="AH61" i="7"/>
  <c r="AC61" i="7"/>
  <c r="AB61" i="7"/>
  <c r="CZ60" i="7"/>
  <c r="AI60" i="7"/>
  <c r="AH60" i="7"/>
  <c r="AC60" i="7"/>
  <c r="AB60" i="7"/>
  <c r="CZ59" i="7"/>
  <c r="AI59" i="7"/>
  <c r="AH59" i="7"/>
  <c r="AC59" i="7"/>
  <c r="AB59" i="7"/>
  <c r="CZ58" i="7"/>
  <c r="AI58" i="7"/>
  <c r="AH58" i="7"/>
  <c r="AC58" i="7"/>
  <c r="AB58" i="7"/>
  <c r="CZ57" i="7"/>
  <c r="AI57" i="7"/>
  <c r="AH57" i="7"/>
  <c r="AC57" i="7"/>
  <c r="AB57" i="7"/>
  <c r="CZ56" i="7"/>
  <c r="AI56" i="7"/>
  <c r="AH56" i="7"/>
  <c r="AC56" i="7"/>
  <c r="AB56" i="7"/>
  <c r="CZ55" i="7"/>
  <c r="AI55" i="7"/>
  <c r="AH55" i="7"/>
  <c r="AC55" i="7"/>
  <c r="AB55" i="7"/>
  <c r="CZ54" i="7"/>
  <c r="AI54" i="7"/>
  <c r="AH54" i="7"/>
  <c r="AC54" i="7"/>
  <c r="AB54" i="7"/>
  <c r="CZ53" i="7"/>
  <c r="AI53" i="7"/>
  <c r="AH53" i="7"/>
  <c r="AC53" i="7"/>
  <c r="AB53" i="7"/>
  <c r="CZ52" i="7"/>
  <c r="AI52" i="7"/>
  <c r="AH52" i="7"/>
  <c r="AC52" i="7"/>
  <c r="AB52" i="7"/>
  <c r="CZ51" i="7"/>
  <c r="AI51" i="7"/>
  <c r="AH51" i="7"/>
  <c r="AC51" i="7"/>
  <c r="AB51" i="7"/>
  <c r="CZ50" i="7"/>
  <c r="AI50" i="7"/>
  <c r="AH50" i="7"/>
  <c r="AC50" i="7"/>
  <c r="AB50" i="7"/>
  <c r="CZ49" i="7"/>
  <c r="AI49" i="7"/>
  <c r="AH49" i="7"/>
  <c r="AC49" i="7"/>
  <c r="AB49" i="7"/>
  <c r="CZ48" i="7"/>
  <c r="AI48" i="7"/>
  <c r="AH48" i="7"/>
  <c r="AC48" i="7"/>
  <c r="AB48" i="7"/>
  <c r="CZ47" i="7"/>
  <c r="AI47" i="7"/>
  <c r="AH47" i="7"/>
  <c r="AC47" i="7"/>
  <c r="AB47" i="7"/>
  <c r="CZ46" i="7"/>
  <c r="AI46" i="7"/>
  <c r="AH46" i="7"/>
  <c r="AC46" i="7"/>
  <c r="AB46" i="7"/>
  <c r="CZ45" i="7"/>
  <c r="AI45" i="7"/>
  <c r="AH45" i="7"/>
  <c r="AC45" i="7"/>
  <c r="AB45" i="7"/>
  <c r="CZ44" i="7"/>
  <c r="AI44" i="7"/>
  <c r="AH44" i="7"/>
  <c r="AC44" i="7"/>
  <c r="AB44" i="7"/>
  <c r="CZ43" i="7"/>
  <c r="AI43" i="7"/>
  <c r="AH43" i="7"/>
  <c r="AC43" i="7"/>
  <c r="AB43" i="7"/>
  <c r="CZ42" i="7"/>
  <c r="AI42" i="7"/>
  <c r="AH42" i="7"/>
  <c r="AC42" i="7"/>
  <c r="AB42" i="7"/>
  <c r="CZ41" i="7"/>
  <c r="AI41" i="7"/>
  <c r="AH41" i="7"/>
  <c r="AC41" i="7"/>
  <c r="AB41" i="7"/>
  <c r="CZ40" i="7"/>
  <c r="AI40" i="7"/>
  <c r="AH40" i="7"/>
  <c r="AC40" i="7"/>
  <c r="AB40" i="7"/>
  <c r="CZ39" i="7"/>
  <c r="AI39" i="7"/>
  <c r="AH39" i="7"/>
  <c r="AC39" i="7"/>
  <c r="AB39" i="7"/>
  <c r="CZ38" i="7"/>
  <c r="AI38" i="7"/>
  <c r="AH38" i="7"/>
  <c r="AC38" i="7"/>
  <c r="AB38" i="7"/>
  <c r="CZ37" i="7"/>
  <c r="AI37" i="7"/>
  <c r="AH37" i="7"/>
  <c r="AC37" i="7"/>
  <c r="AB37" i="7"/>
  <c r="CZ36" i="7"/>
  <c r="AI36" i="7"/>
  <c r="AH36" i="7"/>
  <c r="AC36" i="7"/>
  <c r="AB36" i="7"/>
  <c r="CZ35" i="7"/>
  <c r="AI35" i="7"/>
  <c r="AH35" i="7"/>
  <c r="AC35" i="7"/>
  <c r="AB35" i="7"/>
  <c r="CZ34" i="7"/>
  <c r="AI34" i="7"/>
  <c r="AH34" i="7"/>
  <c r="AC34" i="7"/>
  <c r="AB34" i="7"/>
  <c r="CZ33" i="7"/>
  <c r="AI33" i="7"/>
  <c r="AH33" i="7"/>
  <c r="AC33" i="7"/>
  <c r="AB33" i="7"/>
  <c r="CZ32" i="7"/>
  <c r="AI32" i="7"/>
  <c r="AH32" i="7"/>
  <c r="AC32" i="7"/>
  <c r="AB32" i="7"/>
  <c r="CZ31" i="7"/>
  <c r="AI31" i="7"/>
  <c r="AH31" i="7"/>
  <c r="AC31" i="7"/>
  <c r="AB31" i="7"/>
  <c r="CZ30" i="7"/>
  <c r="AI30" i="7"/>
  <c r="AH30" i="7"/>
  <c r="AC30" i="7"/>
  <c r="AB30" i="7"/>
  <c r="CZ29" i="7"/>
  <c r="AI29" i="7"/>
  <c r="AH29" i="7"/>
  <c r="AC29" i="7"/>
  <c r="AB29" i="7"/>
  <c r="CZ28" i="7"/>
  <c r="AI28" i="7"/>
  <c r="AH28" i="7"/>
  <c r="AC28" i="7"/>
  <c r="AB28" i="7"/>
  <c r="CZ27" i="7"/>
  <c r="AI27" i="7"/>
  <c r="AH27" i="7"/>
  <c r="AC27" i="7"/>
  <c r="AB27" i="7"/>
  <c r="CZ26" i="7"/>
  <c r="AI26" i="7"/>
  <c r="AH26" i="7"/>
  <c r="AC26" i="7"/>
  <c r="AB26" i="7"/>
  <c r="CZ25" i="7"/>
  <c r="AI25" i="7"/>
  <c r="AH25" i="7"/>
  <c r="AC25" i="7"/>
  <c r="AB25" i="7"/>
  <c r="CZ24" i="7"/>
  <c r="AI24" i="7"/>
  <c r="AH24" i="7"/>
  <c r="AC24" i="7"/>
  <c r="AB24" i="7"/>
  <c r="CZ23" i="7"/>
  <c r="AI23" i="7"/>
  <c r="AH23" i="7"/>
  <c r="AC23" i="7"/>
  <c r="AB23" i="7"/>
  <c r="CZ22" i="7"/>
  <c r="AI22" i="7"/>
  <c r="AH22" i="7"/>
  <c r="AC22" i="7"/>
  <c r="AB22" i="7"/>
  <c r="CZ21" i="7"/>
  <c r="AI21" i="7"/>
  <c r="AH21" i="7"/>
  <c r="AC21" i="7"/>
  <c r="AB21" i="7"/>
  <c r="CZ20" i="7"/>
  <c r="AC20" i="7"/>
  <c r="AB20" i="7"/>
  <c r="CZ19" i="7"/>
  <c r="AC19" i="7"/>
  <c r="AB19" i="7"/>
  <c r="CZ18" i="7"/>
  <c r="AC18" i="7"/>
  <c r="AB18" i="7"/>
  <c r="CZ17" i="7"/>
  <c r="AC17" i="7"/>
  <c r="AB17" i="7"/>
  <c r="CZ16" i="7"/>
  <c r="AC16" i="7"/>
  <c r="AB16" i="7"/>
  <c r="CZ15" i="7"/>
  <c r="AC15" i="7"/>
  <c r="AB15" i="7"/>
  <c r="CZ14" i="7"/>
  <c r="CZ13" i="7"/>
  <c r="CZ12" i="7"/>
  <c r="CZ11" i="7"/>
  <c r="CZ10" i="7"/>
  <c r="CZ9" i="7"/>
  <c r="CZ8" i="7"/>
  <c r="CZ7" i="7"/>
  <c r="CZ6" i="7"/>
  <c r="B93" i="8"/>
  <c r="E11" i="11" s="1"/>
  <c r="B77" i="8"/>
  <c r="B76" i="8"/>
  <c r="B75" i="8"/>
  <c r="B58" i="8"/>
  <c r="B36" i="8"/>
  <c r="B35" i="8"/>
  <c r="E6" i="11" s="1"/>
  <c r="B34" i="8"/>
  <c r="B29" i="8"/>
  <c r="B23" i="8"/>
  <c r="B14" i="8"/>
  <c r="B3" i="8"/>
  <c r="B4" i="8" s="1"/>
  <c r="E3" i="11" s="1"/>
  <c r="B72" i="8"/>
  <c r="B39" i="8"/>
  <c r="B11" i="8"/>
  <c r="HM156" i="7"/>
  <c r="CD156" i="7"/>
  <c r="K156" i="7"/>
  <c r="J156" i="7"/>
  <c r="I156" i="7"/>
  <c r="HM155" i="7"/>
  <c r="FG155" i="7"/>
  <c r="CD155" i="7"/>
  <c r="K155" i="7"/>
  <c r="J155" i="7"/>
  <c r="I155" i="7"/>
  <c r="HM154" i="7"/>
  <c r="CD154" i="7"/>
  <c r="K154" i="7"/>
  <c r="J154" i="7"/>
  <c r="I154" i="7"/>
  <c r="HM153" i="7"/>
  <c r="CD153" i="7"/>
  <c r="K153" i="7"/>
  <c r="J153" i="7"/>
  <c r="I153" i="7"/>
  <c r="HM152" i="7"/>
  <c r="FJ152" i="7"/>
  <c r="CD152" i="7"/>
  <c r="K152" i="7"/>
  <c r="J152" i="7"/>
  <c r="I152" i="7"/>
  <c r="HM151" i="7"/>
  <c r="CD151" i="7"/>
  <c r="K151" i="7"/>
  <c r="J151" i="7"/>
  <c r="I151" i="7"/>
  <c r="HM150" i="7"/>
  <c r="CD150" i="7"/>
  <c r="K150" i="7"/>
  <c r="J150" i="7"/>
  <c r="I150" i="7"/>
  <c r="HM149" i="7"/>
  <c r="CD149" i="7"/>
  <c r="K149" i="7"/>
  <c r="J149" i="7"/>
  <c r="I149" i="7"/>
  <c r="HM148" i="7"/>
  <c r="CD148" i="7"/>
  <c r="K148" i="7"/>
  <c r="J148" i="7"/>
  <c r="I148" i="7"/>
  <c r="HM147" i="7"/>
  <c r="CD147" i="7"/>
  <c r="K147" i="7"/>
  <c r="J147" i="7"/>
  <c r="I147" i="7"/>
  <c r="HM146" i="7"/>
  <c r="CD146" i="7"/>
  <c r="K146" i="7"/>
  <c r="J146" i="7"/>
  <c r="I146" i="7"/>
  <c r="HM145" i="7"/>
  <c r="CD145" i="7"/>
  <c r="K145" i="7"/>
  <c r="J145" i="7"/>
  <c r="I145" i="7"/>
  <c r="HM144" i="7"/>
  <c r="CD144" i="7"/>
  <c r="K144" i="7"/>
  <c r="J144" i="7"/>
  <c r="I144" i="7"/>
  <c r="HM143" i="7"/>
  <c r="CD143" i="7"/>
  <c r="K143" i="7"/>
  <c r="J143" i="7"/>
  <c r="I143" i="7"/>
  <c r="HM142" i="7"/>
  <c r="CD142" i="7"/>
  <c r="K142" i="7"/>
  <c r="J142" i="7"/>
  <c r="I142" i="7"/>
  <c r="HM141" i="7"/>
  <c r="CD141" i="7"/>
  <c r="K141" i="7"/>
  <c r="J141" i="7"/>
  <c r="I141" i="7"/>
  <c r="HM140" i="7"/>
  <c r="CD140" i="7"/>
  <c r="K140" i="7"/>
  <c r="J140" i="7"/>
  <c r="I140" i="7"/>
  <c r="HM139" i="7"/>
  <c r="CD139" i="7"/>
  <c r="K139" i="7"/>
  <c r="J139" i="7"/>
  <c r="I139" i="7"/>
  <c r="HM138" i="7"/>
  <c r="CD138" i="7"/>
  <c r="K138" i="7"/>
  <c r="J138" i="7"/>
  <c r="I138" i="7"/>
  <c r="HM137" i="7"/>
  <c r="CD137" i="7"/>
  <c r="K137" i="7"/>
  <c r="J137" i="7"/>
  <c r="I137" i="7"/>
  <c r="HM136" i="7"/>
  <c r="CD136" i="7"/>
  <c r="K136" i="7"/>
  <c r="J136" i="7"/>
  <c r="I136" i="7"/>
  <c r="HM135" i="7"/>
  <c r="CD135" i="7"/>
  <c r="K135" i="7"/>
  <c r="J135" i="7"/>
  <c r="I135" i="7"/>
  <c r="HM134" i="7"/>
  <c r="CD134" i="7"/>
  <c r="K134" i="7"/>
  <c r="J134" i="7"/>
  <c r="I134" i="7"/>
  <c r="HM133" i="7"/>
  <c r="CD133" i="7"/>
  <c r="K133" i="7"/>
  <c r="J133" i="7"/>
  <c r="I133" i="7"/>
  <c r="HM132" i="7"/>
  <c r="CD132" i="7"/>
  <c r="K132" i="7"/>
  <c r="J132" i="7"/>
  <c r="I132" i="7"/>
  <c r="HM131" i="7"/>
  <c r="CD131" i="7"/>
  <c r="K131" i="7"/>
  <c r="J131" i="7"/>
  <c r="I131" i="7"/>
  <c r="HM130" i="7"/>
  <c r="CD130" i="7"/>
  <c r="K130" i="7"/>
  <c r="J130" i="7"/>
  <c r="I130" i="7"/>
  <c r="HM129" i="7"/>
  <c r="CD129" i="7"/>
  <c r="K129" i="7"/>
  <c r="J129" i="7"/>
  <c r="I129" i="7"/>
  <c r="HM128" i="7"/>
  <c r="CD128" i="7"/>
  <c r="K128" i="7"/>
  <c r="J128" i="7"/>
  <c r="I128" i="7"/>
  <c r="HM127" i="7"/>
  <c r="CD127" i="7"/>
  <c r="K127" i="7"/>
  <c r="J127" i="7"/>
  <c r="I127" i="7"/>
  <c r="HM126" i="7"/>
  <c r="CD126" i="7"/>
  <c r="K126" i="7"/>
  <c r="J126" i="7"/>
  <c r="I126" i="7"/>
  <c r="HM125" i="7"/>
  <c r="CD125" i="7"/>
  <c r="K125" i="7"/>
  <c r="J125" i="7"/>
  <c r="I125" i="7"/>
  <c r="HM124" i="7"/>
  <c r="CD124" i="7"/>
  <c r="K124" i="7"/>
  <c r="J124" i="7"/>
  <c r="I124" i="7"/>
  <c r="HM123" i="7"/>
  <c r="CD123" i="7"/>
  <c r="K123" i="7"/>
  <c r="J123" i="7"/>
  <c r="I123" i="7"/>
  <c r="HM122" i="7"/>
  <c r="CD122" i="7"/>
  <c r="K122" i="7"/>
  <c r="J122" i="7"/>
  <c r="I122" i="7"/>
  <c r="HM121" i="7"/>
  <c r="CD121" i="7"/>
  <c r="K121" i="7"/>
  <c r="J121" i="7"/>
  <c r="I121" i="7"/>
  <c r="HM120" i="7"/>
  <c r="CD120" i="7"/>
  <c r="K120" i="7"/>
  <c r="J120" i="7"/>
  <c r="I120" i="7"/>
  <c r="HM119" i="7"/>
  <c r="CD119" i="7"/>
  <c r="K119" i="7"/>
  <c r="J119" i="7"/>
  <c r="I119" i="7"/>
  <c r="HM118" i="7"/>
  <c r="CD118" i="7"/>
  <c r="K118" i="7"/>
  <c r="J118" i="7"/>
  <c r="I118" i="7"/>
  <c r="HM117" i="7"/>
  <c r="CD117" i="7"/>
  <c r="K117" i="7"/>
  <c r="J117" i="7"/>
  <c r="I117" i="7"/>
  <c r="HM116" i="7"/>
  <c r="CD116" i="7"/>
  <c r="K116" i="7"/>
  <c r="J116" i="7"/>
  <c r="I116" i="7"/>
  <c r="HM115" i="7"/>
  <c r="CD115" i="7"/>
  <c r="K115" i="7"/>
  <c r="J115" i="7"/>
  <c r="I115" i="7"/>
  <c r="HM114" i="7"/>
  <c r="CD114" i="7"/>
  <c r="K114" i="7"/>
  <c r="J114" i="7"/>
  <c r="I114" i="7"/>
  <c r="HM113" i="7"/>
  <c r="CD113" i="7"/>
  <c r="K113" i="7"/>
  <c r="J113" i="7"/>
  <c r="I113" i="7"/>
  <c r="HM112" i="7"/>
  <c r="CD112" i="7"/>
  <c r="K112" i="7"/>
  <c r="J112" i="7"/>
  <c r="I112" i="7"/>
  <c r="HM111" i="7"/>
  <c r="CD111" i="7"/>
  <c r="K111" i="7"/>
  <c r="J111" i="7"/>
  <c r="I111" i="7"/>
  <c r="HM110" i="7"/>
  <c r="CD110" i="7"/>
  <c r="K110" i="7"/>
  <c r="J110" i="7"/>
  <c r="I110" i="7"/>
  <c r="HM109" i="7"/>
  <c r="CD109" i="7"/>
  <c r="K109" i="7"/>
  <c r="J109" i="7"/>
  <c r="I109" i="7"/>
  <c r="HM108" i="7"/>
  <c r="CD108" i="7"/>
  <c r="K108" i="7"/>
  <c r="J108" i="7"/>
  <c r="I108" i="7"/>
  <c r="HM107" i="7"/>
  <c r="CD107" i="7"/>
  <c r="K107" i="7"/>
  <c r="J107" i="7"/>
  <c r="I107" i="7"/>
  <c r="HM106" i="7"/>
  <c r="CD106" i="7"/>
  <c r="K106" i="7"/>
  <c r="J106" i="7"/>
  <c r="I106" i="7"/>
  <c r="HM105" i="7"/>
  <c r="CD105" i="7"/>
  <c r="K105" i="7"/>
  <c r="J105" i="7"/>
  <c r="I105" i="7"/>
  <c r="HM104" i="7"/>
  <c r="CD104" i="7"/>
  <c r="K104" i="7"/>
  <c r="J104" i="7"/>
  <c r="I104" i="7"/>
  <c r="HM103" i="7"/>
  <c r="CD103" i="7"/>
  <c r="K103" i="7"/>
  <c r="J103" i="7"/>
  <c r="I103" i="7"/>
  <c r="HM102" i="7"/>
  <c r="CD102" i="7"/>
  <c r="K102" i="7"/>
  <c r="J102" i="7"/>
  <c r="I102" i="7"/>
  <c r="HM101" i="7"/>
  <c r="CD101" i="7"/>
  <c r="K101" i="7"/>
  <c r="J101" i="7"/>
  <c r="I101" i="7"/>
  <c r="HM100" i="7"/>
  <c r="CD100" i="7"/>
  <c r="K100" i="7"/>
  <c r="J100" i="7"/>
  <c r="I100" i="7"/>
  <c r="HM99" i="7"/>
  <c r="CD99" i="7"/>
  <c r="K99" i="7"/>
  <c r="J99" i="7"/>
  <c r="I99" i="7"/>
  <c r="HM98" i="7"/>
  <c r="CD98" i="7"/>
  <c r="K98" i="7"/>
  <c r="J98" i="7"/>
  <c r="I98" i="7"/>
  <c r="HM97" i="7"/>
  <c r="CD97" i="7"/>
  <c r="K97" i="7"/>
  <c r="J97" i="7"/>
  <c r="I97" i="7"/>
  <c r="HM96" i="7"/>
  <c r="CD96" i="7"/>
  <c r="K96" i="7"/>
  <c r="J96" i="7"/>
  <c r="I96" i="7"/>
  <c r="HM95" i="7"/>
  <c r="CD95" i="7"/>
  <c r="K95" i="7"/>
  <c r="J95" i="7"/>
  <c r="I95" i="7"/>
  <c r="HM94" i="7"/>
  <c r="CD94" i="7"/>
  <c r="K94" i="7"/>
  <c r="J94" i="7"/>
  <c r="I94" i="7"/>
  <c r="HM93" i="7"/>
  <c r="CD93" i="7"/>
  <c r="K93" i="7"/>
  <c r="J93" i="7"/>
  <c r="I93" i="7"/>
  <c r="HM92" i="7"/>
  <c r="CD92" i="7"/>
  <c r="K92" i="7"/>
  <c r="J92" i="7"/>
  <c r="I92" i="7"/>
  <c r="HM91" i="7"/>
  <c r="CD91" i="7"/>
  <c r="K91" i="7"/>
  <c r="J91" i="7"/>
  <c r="I91" i="7"/>
  <c r="HM90" i="7"/>
  <c r="CD90" i="7"/>
  <c r="K90" i="7"/>
  <c r="J90" i="7"/>
  <c r="I90" i="7"/>
  <c r="HM89" i="7"/>
  <c r="CD89" i="7"/>
  <c r="K89" i="7"/>
  <c r="J89" i="7"/>
  <c r="I89" i="7"/>
  <c r="HM88" i="7"/>
  <c r="CD88" i="7"/>
  <c r="K88" i="7"/>
  <c r="J88" i="7"/>
  <c r="I88" i="7"/>
  <c r="HM87" i="7"/>
  <c r="CD87" i="7"/>
  <c r="K87" i="7"/>
  <c r="J87" i="7"/>
  <c r="I87" i="7"/>
  <c r="HM86" i="7"/>
  <c r="CD86" i="7"/>
  <c r="K86" i="7"/>
  <c r="J86" i="7"/>
  <c r="I86" i="7"/>
  <c r="HM85" i="7"/>
  <c r="CD85" i="7"/>
  <c r="K85" i="7"/>
  <c r="J85" i="7"/>
  <c r="I85" i="7"/>
  <c r="HM84" i="7"/>
  <c r="CD84" i="7"/>
  <c r="K84" i="7"/>
  <c r="J84" i="7"/>
  <c r="I84" i="7"/>
  <c r="HM83" i="7"/>
  <c r="CD83" i="7"/>
  <c r="K83" i="7"/>
  <c r="J83" i="7"/>
  <c r="I83" i="7"/>
  <c r="HM82" i="7"/>
  <c r="CD82" i="7"/>
  <c r="K82" i="7"/>
  <c r="J82" i="7"/>
  <c r="I82" i="7"/>
  <c r="HM81" i="7"/>
  <c r="CD81" i="7"/>
  <c r="K81" i="7"/>
  <c r="J81" i="7"/>
  <c r="I81" i="7"/>
  <c r="HM80" i="7"/>
  <c r="CD80" i="7"/>
  <c r="K80" i="7"/>
  <c r="J80" i="7"/>
  <c r="I80" i="7"/>
  <c r="HM79" i="7"/>
  <c r="CD79" i="7"/>
  <c r="K79" i="7"/>
  <c r="J79" i="7"/>
  <c r="I79" i="7"/>
  <c r="HM78" i="7"/>
  <c r="CD78" i="7"/>
  <c r="K78" i="7"/>
  <c r="J78" i="7"/>
  <c r="I78" i="7"/>
  <c r="HM77" i="7"/>
  <c r="CD77" i="7"/>
  <c r="K77" i="7"/>
  <c r="J77" i="7"/>
  <c r="I77" i="7"/>
  <c r="HM76" i="7"/>
  <c r="CD76" i="7"/>
  <c r="K76" i="7"/>
  <c r="J76" i="7"/>
  <c r="I76" i="7"/>
  <c r="H76" i="7"/>
  <c r="L76" i="7" s="1"/>
  <c r="HM75" i="7"/>
  <c r="CD75" i="7"/>
  <c r="H75" i="7"/>
  <c r="L75" i="7" s="1"/>
  <c r="HM74" i="7"/>
  <c r="CV74" i="7"/>
  <c r="CN74" i="7"/>
  <c r="CM74" i="7"/>
  <c r="CJ74" i="7"/>
  <c r="CH74" i="7"/>
  <c r="CG74" i="7"/>
  <c r="CF74" i="7"/>
  <c r="CE74" i="7"/>
  <c r="CD74" i="7"/>
  <c r="AR74" i="7"/>
  <c r="AO74" i="7"/>
  <c r="AE74" i="7"/>
  <c r="Y74" i="7"/>
  <c r="H74" i="7"/>
  <c r="L74" i="7" s="1"/>
  <c r="AG74" i="7" s="1"/>
  <c r="AJ74" i="7" s="1"/>
  <c r="HM73" i="7"/>
  <c r="DI73" i="7"/>
  <c r="DH73" i="7"/>
  <c r="DG73" i="7"/>
  <c r="DF73" i="7"/>
  <c r="DE73" i="7"/>
  <c r="DD73" i="7"/>
  <c r="CV73" i="7"/>
  <c r="CN73" i="7"/>
  <c r="CM73" i="7"/>
  <c r="CJ73" i="7"/>
  <c r="CH73" i="7"/>
  <c r="CG73" i="7"/>
  <c r="CF73" i="7"/>
  <c r="CE73" i="7"/>
  <c r="CD73" i="7"/>
  <c r="BR73" i="7"/>
  <c r="AR73" i="7"/>
  <c r="AO73" i="7"/>
  <c r="AE73" i="7"/>
  <c r="Y73" i="7"/>
  <c r="H73" i="7"/>
  <c r="L73" i="7" s="1"/>
  <c r="HM72" i="7"/>
  <c r="DI72" i="7"/>
  <c r="DH72" i="7"/>
  <c r="DG72" i="7"/>
  <c r="DF72" i="7"/>
  <c r="DE72" i="7"/>
  <c r="DD72" i="7"/>
  <c r="CV72" i="7"/>
  <c r="CN72" i="7"/>
  <c r="CM72" i="7"/>
  <c r="CJ72" i="7"/>
  <c r="CH72" i="7"/>
  <c r="CG72" i="7"/>
  <c r="CF72" i="7"/>
  <c r="CE72" i="7"/>
  <c r="CD72" i="7"/>
  <c r="BR72" i="7"/>
  <c r="AR72" i="7"/>
  <c r="AO72" i="7"/>
  <c r="AE72" i="7"/>
  <c r="Y72" i="7"/>
  <c r="H72" i="7"/>
  <c r="L72" i="7" s="1"/>
  <c r="HM71" i="7"/>
  <c r="DI71" i="7"/>
  <c r="DH71" i="7"/>
  <c r="DG71" i="7"/>
  <c r="DF71" i="7"/>
  <c r="DE71" i="7"/>
  <c r="DD71" i="7"/>
  <c r="CV71" i="7"/>
  <c r="CN71" i="7"/>
  <c r="CM71" i="7"/>
  <c r="CJ71" i="7"/>
  <c r="CH71" i="7"/>
  <c r="CG71" i="7"/>
  <c r="CF71" i="7"/>
  <c r="CE71" i="7"/>
  <c r="CD71" i="7"/>
  <c r="BR71" i="7"/>
  <c r="AR71" i="7"/>
  <c r="AO71" i="7"/>
  <c r="AE71" i="7"/>
  <c r="Y71" i="7"/>
  <c r="H71" i="7"/>
  <c r="L71" i="7" s="1"/>
  <c r="AG71" i="7" s="1"/>
  <c r="AK71" i="7" s="1"/>
  <c r="AL71" i="7" s="1"/>
  <c r="AM71" i="7" s="1"/>
  <c r="HM70" i="7"/>
  <c r="DI70" i="7"/>
  <c r="DH70" i="7"/>
  <c r="DG70" i="7"/>
  <c r="DF70" i="7"/>
  <c r="DE70" i="7"/>
  <c r="DD70" i="7"/>
  <c r="CV70" i="7"/>
  <c r="CN70" i="7"/>
  <c r="CM70" i="7"/>
  <c r="CJ70" i="7"/>
  <c r="CH70" i="7"/>
  <c r="CG70" i="7"/>
  <c r="CF70" i="7"/>
  <c r="CE70" i="7"/>
  <c r="CD70" i="7"/>
  <c r="BR70" i="7"/>
  <c r="AR70" i="7"/>
  <c r="AO70" i="7"/>
  <c r="AE70" i="7"/>
  <c r="Y70" i="7"/>
  <c r="H70" i="7"/>
  <c r="L70" i="7" s="1"/>
  <c r="HM69" i="7"/>
  <c r="FK69" i="7"/>
  <c r="FM69" i="7" s="1"/>
  <c r="FH69" i="7"/>
  <c r="FJ69" i="7" s="1"/>
  <c r="FE69" i="7"/>
  <c r="FG69" i="7" s="1"/>
  <c r="FA69" i="7"/>
  <c r="FD69" i="7" s="1"/>
  <c r="EG69" i="7"/>
  <c r="EI69" i="7" s="1"/>
  <c r="DI69" i="7"/>
  <c r="DH69" i="7"/>
  <c r="HC69" i="7" s="1"/>
  <c r="DG69" i="7"/>
  <c r="DF69" i="7"/>
  <c r="DE69" i="7"/>
  <c r="DD69" i="7"/>
  <c r="CV69" i="7"/>
  <c r="CN69" i="7"/>
  <c r="CM69" i="7"/>
  <c r="CJ69" i="7"/>
  <c r="CH69" i="7"/>
  <c r="CG69" i="7"/>
  <c r="CF69" i="7"/>
  <c r="CE69" i="7"/>
  <c r="CD69" i="7"/>
  <c r="BR69" i="7"/>
  <c r="AR69" i="7"/>
  <c r="AO69" i="7"/>
  <c r="AE69" i="7"/>
  <c r="Y69" i="7"/>
  <c r="H69" i="7"/>
  <c r="L69" i="7" s="1"/>
  <c r="AG69" i="7" s="1"/>
  <c r="AK69" i="7" s="1"/>
  <c r="AL69" i="7" s="1"/>
  <c r="AM69" i="7" s="1"/>
  <c r="AN69" i="7" s="1"/>
  <c r="HM68" i="7"/>
  <c r="FK68" i="7"/>
  <c r="FM68" i="7" s="1"/>
  <c r="FH68" i="7"/>
  <c r="FJ68" i="7" s="1"/>
  <c r="FE68" i="7"/>
  <c r="FG68" i="7" s="1"/>
  <c r="FA68" i="7"/>
  <c r="FD68" i="7" s="1"/>
  <c r="EG68" i="7"/>
  <c r="EI68" i="7" s="1"/>
  <c r="DI68" i="7"/>
  <c r="DH68" i="7"/>
  <c r="DG68" i="7"/>
  <c r="DF68" i="7"/>
  <c r="DE68" i="7"/>
  <c r="DD68" i="7"/>
  <c r="CV68" i="7"/>
  <c r="CN68" i="7"/>
  <c r="CM68" i="7"/>
  <c r="CJ68" i="7"/>
  <c r="CH68" i="7"/>
  <c r="CG68" i="7"/>
  <c r="CF68" i="7"/>
  <c r="CE68" i="7"/>
  <c r="CD68" i="7"/>
  <c r="BR68" i="7"/>
  <c r="AR68" i="7"/>
  <c r="AO68" i="7"/>
  <c r="AE68" i="7"/>
  <c r="Y68" i="7"/>
  <c r="H68" i="7"/>
  <c r="L68" i="7" s="1"/>
  <c r="AG68" i="7" s="1"/>
  <c r="AK68" i="7" s="1"/>
  <c r="AL68" i="7" s="1"/>
  <c r="AM68" i="7" s="1"/>
  <c r="HM67" i="7"/>
  <c r="FK67" i="7"/>
  <c r="FM67" i="7" s="1"/>
  <c r="FH67" i="7"/>
  <c r="FJ67" i="7" s="1"/>
  <c r="FE67" i="7"/>
  <c r="FG67" i="7" s="1"/>
  <c r="FA67" i="7"/>
  <c r="FD67" i="7" s="1"/>
  <c r="EG67" i="7"/>
  <c r="EI67" i="7" s="1"/>
  <c r="DI67" i="7"/>
  <c r="DH67" i="7"/>
  <c r="EW67" i="7" s="1"/>
  <c r="EZ67" i="7" s="1"/>
  <c r="DG67" i="7"/>
  <c r="DF67" i="7"/>
  <c r="DE67" i="7"/>
  <c r="DD67" i="7"/>
  <c r="CV67" i="7"/>
  <c r="CN67" i="7"/>
  <c r="CM67" i="7"/>
  <c r="CJ67" i="7"/>
  <c r="CH67" i="7"/>
  <c r="CG67" i="7"/>
  <c r="CF67" i="7"/>
  <c r="CE67" i="7"/>
  <c r="CD67" i="7"/>
  <c r="BR67" i="7"/>
  <c r="AR67" i="7"/>
  <c r="AO67" i="7"/>
  <c r="AE67" i="7"/>
  <c r="Y67" i="7"/>
  <c r="H67" i="7"/>
  <c r="L67" i="7" s="1"/>
  <c r="EP67" i="7" s="1"/>
  <c r="FO67" i="7" s="1"/>
  <c r="HM66" i="7"/>
  <c r="FK66" i="7"/>
  <c r="FM66" i="7" s="1"/>
  <c r="FH66" i="7"/>
  <c r="FJ66" i="7" s="1"/>
  <c r="FE66" i="7"/>
  <c r="FG66" i="7" s="1"/>
  <c r="FA66" i="7"/>
  <c r="FD66" i="7" s="1"/>
  <c r="EG66" i="7"/>
  <c r="EI66" i="7" s="1"/>
  <c r="DI66" i="7"/>
  <c r="DH66" i="7"/>
  <c r="DG66" i="7"/>
  <c r="DF66" i="7"/>
  <c r="DE66" i="7"/>
  <c r="DD66" i="7"/>
  <c r="CV66" i="7"/>
  <c r="CN66" i="7"/>
  <c r="CM66" i="7"/>
  <c r="CJ66" i="7"/>
  <c r="CH66" i="7"/>
  <c r="CG66" i="7"/>
  <c r="CF66" i="7"/>
  <c r="CE66" i="7"/>
  <c r="CD66" i="7"/>
  <c r="BR66" i="7"/>
  <c r="AR66" i="7"/>
  <c r="AO66" i="7"/>
  <c r="AE66" i="7"/>
  <c r="Y66" i="7"/>
  <c r="H66" i="7"/>
  <c r="L66" i="7" s="1"/>
  <c r="EE66" i="7" s="1"/>
  <c r="HM65" i="7"/>
  <c r="FK65" i="7"/>
  <c r="FM65" i="7" s="1"/>
  <c r="FH65" i="7"/>
  <c r="FJ65" i="7" s="1"/>
  <c r="FE65" i="7"/>
  <c r="FG65" i="7" s="1"/>
  <c r="FA65" i="7"/>
  <c r="FD65" i="7" s="1"/>
  <c r="EG65" i="7"/>
  <c r="EI65" i="7" s="1"/>
  <c r="DI65" i="7"/>
  <c r="DH65" i="7"/>
  <c r="DG65" i="7"/>
  <c r="DF65" i="7"/>
  <c r="DE65" i="7"/>
  <c r="DD65" i="7"/>
  <c r="CV65" i="7"/>
  <c r="CN65" i="7"/>
  <c r="CM65" i="7"/>
  <c r="CJ65" i="7"/>
  <c r="CH65" i="7"/>
  <c r="CG65" i="7"/>
  <c r="CF65" i="7"/>
  <c r="CE65" i="7"/>
  <c r="CD65" i="7"/>
  <c r="BR65" i="7"/>
  <c r="AR65" i="7"/>
  <c r="AO65" i="7"/>
  <c r="AE65" i="7"/>
  <c r="Y65" i="7"/>
  <c r="H65" i="7"/>
  <c r="L65" i="7" s="1"/>
  <c r="AG65" i="7" s="1"/>
  <c r="AK65" i="7" s="1"/>
  <c r="HM64" i="7"/>
  <c r="FK64" i="7"/>
  <c r="FM64" i="7" s="1"/>
  <c r="FH64" i="7"/>
  <c r="FJ64" i="7" s="1"/>
  <c r="FE64" i="7"/>
  <c r="FG64" i="7" s="1"/>
  <c r="FA64" i="7"/>
  <c r="FD64" i="7" s="1"/>
  <c r="EG64" i="7"/>
  <c r="EI64" i="7" s="1"/>
  <c r="DI64" i="7"/>
  <c r="DH64" i="7"/>
  <c r="EW64" i="7" s="1"/>
  <c r="EZ64" i="7" s="1"/>
  <c r="DG64" i="7"/>
  <c r="DF64" i="7"/>
  <c r="DE64" i="7"/>
  <c r="DD64" i="7"/>
  <c r="CV64" i="7"/>
  <c r="CN64" i="7"/>
  <c r="CM64" i="7"/>
  <c r="CJ64" i="7"/>
  <c r="CH64" i="7"/>
  <c r="CG64" i="7"/>
  <c r="CF64" i="7"/>
  <c r="CE64" i="7"/>
  <c r="CD64" i="7"/>
  <c r="BR64" i="7"/>
  <c r="AR64" i="7"/>
  <c r="AO64" i="7"/>
  <c r="AE64" i="7"/>
  <c r="Y64" i="7"/>
  <c r="H64" i="7"/>
  <c r="L64" i="7" s="1"/>
  <c r="AG64" i="7" s="1"/>
  <c r="AK64" i="7" s="1"/>
  <c r="AL64" i="7" s="1"/>
  <c r="AM64" i="7" s="1"/>
  <c r="AN64" i="7" s="1"/>
  <c r="HM63" i="7"/>
  <c r="FK63" i="7"/>
  <c r="FM63" i="7" s="1"/>
  <c r="FH63" i="7"/>
  <c r="FJ63" i="7" s="1"/>
  <c r="FE63" i="7"/>
  <c r="FG63" i="7" s="1"/>
  <c r="FA63" i="7"/>
  <c r="FD63" i="7" s="1"/>
  <c r="EG63" i="7"/>
  <c r="EI63" i="7" s="1"/>
  <c r="DI63" i="7"/>
  <c r="DH63" i="7"/>
  <c r="DG63" i="7"/>
  <c r="ER63" i="7" s="1"/>
  <c r="DF63" i="7"/>
  <c r="DE63" i="7"/>
  <c r="DD63" i="7"/>
  <c r="CV63" i="7"/>
  <c r="CN63" i="7"/>
  <c r="CM63" i="7"/>
  <c r="CJ63" i="7"/>
  <c r="CH63" i="7"/>
  <c r="CG63" i="7"/>
  <c r="CF63" i="7"/>
  <c r="CE63" i="7"/>
  <c r="CD63" i="7"/>
  <c r="BR63" i="7"/>
  <c r="AR63" i="7"/>
  <c r="AO63" i="7"/>
  <c r="AE63" i="7"/>
  <c r="Y63" i="7"/>
  <c r="H63" i="7"/>
  <c r="L63" i="7" s="1"/>
  <c r="HM62" i="7"/>
  <c r="FK62" i="7"/>
  <c r="FM62" i="7" s="1"/>
  <c r="FH62" i="7"/>
  <c r="FJ62" i="7" s="1"/>
  <c r="FE62" i="7"/>
  <c r="FG62" i="7" s="1"/>
  <c r="FA62" i="7"/>
  <c r="FD62" i="7" s="1"/>
  <c r="EG62" i="7"/>
  <c r="EI62" i="7" s="1"/>
  <c r="DI62" i="7"/>
  <c r="DH62" i="7"/>
  <c r="DG62" i="7"/>
  <c r="DF62" i="7"/>
  <c r="DE62" i="7"/>
  <c r="DD62" i="7"/>
  <c r="CV62" i="7"/>
  <c r="CN62" i="7"/>
  <c r="CM62" i="7"/>
  <c r="CJ62" i="7"/>
  <c r="CH62" i="7"/>
  <c r="CG62" i="7"/>
  <c r="CF62" i="7"/>
  <c r="CE62" i="7"/>
  <c r="CD62" i="7"/>
  <c r="BR62" i="7"/>
  <c r="AR62" i="7"/>
  <c r="AO62" i="7"/>
  <c r="AE62" i="7"/>
  <c r="Y62" i="7"/>
  <c r="H62" i="7"/>
  <c r="L62" i="7" s="1"/>
  <c r="HM61" i="7"/>
  <c r="FK61" i="7"/>
  <c r="FM61" i="7" s="1"/>
  <c r="FH61" i="7"/>
  <c r="FJ61" i="7" s="1"/>
  <c r="FE61" i="7"/>
  <c r="FG61" i="7" s="1"/>
  <c r="FA61" i="7"/>
  <c r="FD61" i="7" s="1"/>
  <c r="EG61" i="7"/>
  <c r="EI61" i="7" s="1"/>
  <c r="DI61" i="7"/>
  <c r="DH61" i="7"/>
  <c r="DG61" i="7"/>
  <c r="DF61" i="7"/>
  <c r="DE61" i="7"/>
  <c r="DD61" i="7"/>
  <c r="CV61" i="7"/>
  <c r="CN61" i="7"/>
  <c r="CM61" i="7"/>
  <c r="CJ61" i="7"/>
  <c r="CH61" i="7"/>
  <c r="CG61" i="7"/>
  <c r="CF61" i="7"/>
  <c r="CE61" i="7"/>
  <c r="CD61" i="7"/>
  <c r="BR61" i="7"/>
  <c r="AR61" i="7"/>
  <c r="AO61" i="7"/>
  <c r="AE61" i="7"/>
  <c r="Y61" i="7"/>
  <c r="H61" i="7"/>
  <c r="L61" i="7" s="1"/>
  <c r="HM60" i="7"/>
  <c r="FK60" i="7"/>
  <c r="FM60" i="7" s="1"/>
  <c r="FH60" i="7"/>
  <c r="FJ60" i="7" s="1"/>
  <c r="FE60" i="7"/>
  <c r="FG60" i="7" s="1"/>
  <c r="FA60" i="7"/>
  <c r="FD60" i="7" s="1"/>
  <c r="EG60" i="7"/>
  <c r="EI60" i="7" s="1"/>
  <c r="DI60" i="7"/>
  <c r="DH60" i="7"/>
  <c r="EW60" i="7" s="1"/>
  <c r="EZ60" i="7" s="1"/>
  <c r="DG60" i="7"/>
  <c r="DF60" i="7"/>
  <c r="DE60" i="7"/>
  <c r="DD60" i="7"/>
  <c r="CV60" i="7"/>
  <c r="CN60" i="7"/>
  <c r="CM60" i="7"/>
  <c r="CJ60" i="7"/>
  <c r="CH60" i="7"/>
  <c r="CG60" i="7"/>
  <c r="CF60" i="7"/>
  <c r="CE60" i="7"/>
  <c r="CD60" i="7"/>
  <c r="BR60" i="7"/>
  <c r="AR60" i="7"/>
  <c r="AO60" i="7"/>
  <c r="AE60" i="7"/>
  <c r="Y60" i="7"/>
  <c r="H60" i="7"/>
  <c r="L60" i="7" s="1"/>
  <c r="AG60" i="7" s="1"/>
  <c r="AK60" i="7" s="1"/>
  <c r="HM59" i="7"/>
  <c r="FK59" i="7"/>
  <c r="FM59" i="7" s="1"/>
  <c r="FH59" i="7"/>
  <c r="FJ59" i="7" s="1"/>
  <c r="FE59" i="7"/>
  <c r="FG59" i="7" s="1"/>
  <c r="FA59" i="7"/>
  <c r="FD59" i="7" s="1"/>
  <c r="EG59" i="7"/>
  <c r="EI59" i="7" s="1"/>
  <c r="DI59" i="7"/>
  <c r="DH59" i="7"/>
  <c r="EW59" i="7" s="1"/>
  <c r="EZ59" i="7" s="1"/>
  <c r="DG59" i="7"/>
  <c r="DF59" i="7"/>
  <c r="DE59" i="7"/>
  <c r="DD59" i="7"/>
  <c r="CV59" i="7"/>
  <c r="CN59" i="7"/>
  <c r="CM59" i="7"/>
  <c r="CJ59" i="7"/>
  <c r="CH59" i="7"/>
  <c r="CG59" i="7"/>
  <c r="CF59" i="7"/>
  <c r="CE59" i="7"/>
  <c r="CD59" i="7"/>
  <c r="BR59" i="7"/>
  <c r="AR59" i="7"/>
  <c r="AO59" i="7"/>
  <c r="AE59" i="7"/>
  <c r="Y59" i="7"/>
  <c r="H59" i="7"/>
  <c r="L59" i="7" s="1"/>
  <c r="AG59" i="7" s="1"/>
  <c r="AK59" i="7" s="1"/>
  <c r="AL59" i="7" s="1"/>
  <c r="AM59" i="7" s="1"/>
  <c r="AN59" i="7" s="1"/>
  <c r="HM58" i="7"/>
  <c r="FK58" i="7"/>
  <c r="FM58" i="7" s="1"/>
  <c r="FH58" i="7"/>
  <c r="FJ58" i="7" s="1"/>
  <c r="FE58" i="7"/>
  <c r="FG58" i="7" s="1"/>
  <c r="FA58" i="7"/>
  <c r="FD58" i="7" s="1"/>
  <c r="EG58" i="7"/>
  <c r="EI58" i="7" s="1"/>
  <c r="DI58" i="7"/>
  <c r="DH58" i="7"/>
  <c r="DG58" i="7"/>
  <c r="DF58" i="7"/>
  <c r="DE58" i="7"/>
  <c r="DD58" i="7"/>
  <c r="CV58" i="7"/>
  <c r="CN58" i="7"/>
  <c r="CM58" i="7"/>
  <c r="CJ58" i="7"/>
  <c r="CH58" i="7"/>
  <c r="CG58" i="7"/>
  <c r="CF58" i="7"/>
  <c r="CE58" i="7"/>
  <c r="CD58" i="7"/>
  <c r="BR58" i="7"/>
  <c r="AR58" i="7"/>
  <c r="AO58" i="7"/>
  <c r="AE58" i="7"/>
  <c r="Y58" i="7"/>
  <c r="H58" i="7"/>
  <c r="L58" i="7" s="1"/>
  <c r="EN58" i="7" s="1"/>
  <c r="HM57" i="7"/>
  <c r="FK57" i="7"/>
  <c r="FM57" i="7" s="1"/>
  <c r="FH57" i="7"/>
  <c r="FJ57" i="7" s="1"/>
  <c r="FE57" i="7"/>
  <c r="FG57" i="7" s="1"/>
  <c r="FA57" i="7"/>
  <c r="FD57" i="7" s="1"/>
  <c r="EG57" i="7"/>
  <c r="EI57" i="7" s="1"/>
  <c r="DI57" i="7"/>
  <c r="DH57" i="7"/>
  <c r="DG57" i="7"/>
  <c r="DF57" i="7"/>
  <c r="DE57" i="7"/>
  <c r="DD57" i="7"/>
  <c r="CV57" i="7"/>
  <c r="CN57" i="7"/>
  <c r="CM57" i="7"/>
  <c r="CJ57" i="7"/>
  <c r="CH57" i="7"/>
  <c r="CG57" i="7"/>
  <c r="CF57" i="7"/>
  <c r="CE57" i="7"/>
  <c r="CD57" i="7"/>
  <c r="BR57" i="7"/>
  <c r="AR57" i="7"/>
  <c r="AO57" i="7"/>
  <c r="AE57" i="7"/>
  <c r="Y57" i="7"/>
  <c r="H57" i="7"/>
  <c r="L57" i="7" s="1"/>
  <c r="HM56" i="7"/>
  <c r="FK56" i="7"/>
  <c r="FM56" i="7" s="1"/>
  <c r="FH56" i="7"/>
  <c r="FJ56" i="7" s="1"/>
  <c r="FE56" i="7"/>
  <c r="FG56" i="7" s="1"/>
  <c r="FA56" i="7"/>
  <c r="FD56" i="7" s="1"/>
  <c r="EG56" i="7"/>
  <c r="EI56" i="7" s="1"/>
  <c r="DI56" i="7"/>
  <c r="DH56" i="7"/>
  <c r="EW56" i="7" s="1"/>
  <c r="EZ56" i="7" s="1"/>
  <c r="DG56" i="7"/>
  <c r="DF56" i="7"/>
  <c r="DE56" i="7"/>
  <c r="DD56" i="7"/>
  <c r="CV56" i="7"/>
  <c r="CN56" i="7"/>
  <c r="CM56" i="7"/>
  <c r="CJ56" i="7"/>
  <c r="CH56" i="7"/>
  <c r="CG56" i="7"/>
  <c r="CF56" i="7"/>
  <c r="CE56" i="7"/>
  <c r="CD56" i="7"/>
  <c r="BR56" i="7"/>
  <c r="AR56" i="7"/>
  <c r="AO56" i="7"/>
  <c r="AE56" i="7"/>
  <c r="Y56" i="7"/>
  <c r="H56" i="7"/>
  <c r="L56" i="7" s="1"/>
  <c r="AG56" i="7" s="1"/>
  <c r="AK56" i="7" s="1"/>
  <c r="HM55" i="7"/>
  <c r="FK55" i="7"/>
  <c r="FM55" i="7" s="1"/>
  <c r="FH55" i="7"/>
  <c r="FJ55" i="7" s="1"/>
  <c r="FE55" i="7"/>
  <c r="FG55" i="7" s="1"/>
  <c r="FA55" i="7"/>
  <c r="FD55" i="7" s="1"/>
  <c r="EG55" i="7"/>
  <c r="EI55" i="7" s="1"/>
  <c r="DI55" i="7"/>
  <c r="DH55" i="7"/>
  <c r="EW55" i="7" s="1"/>
  <c r="EZ55" i="7" s="1"/>
  <c r="DG55" i="7"/>
  <c r="ER55" i="7" s="1"/>
  <c r="DF55" i="7"/>
  <c r="DE55" i="7"/>
  <c r="DD55" i="7"/>
  <c r="CV55" i="7"/>
  <c r="CN55" i="7"/>
  <c r="CM55" i="7"/>
  <c r="CJ55" i="7"/>
  <c r="CH55" i="7"/>
  <c r="CG55" i="7"/>
  <c r="CF55" i="7"/>
  <c r="CE55" i="7"/>
  <c r="CD55" i="7"/>
  <c r="BR55" i="7"/>
  <c r="AR55" i="7"/>
  <c r="AO55" i="7"/>
  <c r="AE55" i="7"/>
  <c r="Y55" i="7"/>
  <c r="H55" i="7"/>
  <c r="L55" i="7" s="1"/>
  <c r="HM54" i="7"/>
  <c r="FK54" i="7"/>
  <c r="FM54" i="7" s="1"/>
  <c r="FH54" i="7"/>
  <c r="FJ54" i="7" s="1"/>
  <c r="FE54" i="7"/>
  <c r="FG54" i="7" s="1"/>
  <c r="FA54" i="7"/>
  <c r="FD54" i="7" s="1"/>
  <c r="EG54" i="7"/>
  <c r="EI54" i="7" s="1"/>
  <c r="DI54" i="7"/>
  <c r="DH54" i="7"/>
  <c r="DG54" i="7"/>
  <c r="DF54" i="7"/>
  <c r="DE54" i="7"/>
  <c r="DD54" i="7"/>
  <c r="CV54" i="7"/>
  <c r="CN54" i="7"/>
  <c r="CM54" i="7"/>
  <c r="CJ54" i="7"/>
  <c r="CH54" i="7"/>
  <c r="CG54" i="7"/>
  <c r="CF54" i="7"/>
  <c r="CE54" i="7"/>
  <c r="CD54" i="7"/>
  <c r="BR54" i="7"/>
  <c r="AR54" i="7"/>
  <c r="AO54" i="7"/>
  <c r="AE54" i="7"/>
  <c r="Y54" i="7"/>
  <c r="H54" i="7"/>
  <c r="L54" i="7" s="1"/>
  <c r="HM53" i="7"/>
  <c r="FK53" i="7"/>
  <c r="FM53" i="7" s="1"/>
  <c r="FH53" i="7"/>
  <c r="FJ53" i="7" s="1"/>
  <c r="FE53" i="7"/>
  <c r="FG53" i="7" s="1"/>
  <c r="FA53" i="7"/>
  <c r="FD53" i="7" s="1"/>
  <c r="EG53" i="7"/>
  <c r="EI53" i="7" s="1"/>
  <c r="DI53" i="7"/>
  <c r="DH53" i="7"/>
  <c r="DG53" i="7"/>
  <c r="DF53" i="7"/>
  <c r="DE53" i="7"/>
  <c r="DD53" i="7"/>
  <c r="CV53" i="7"/>
  <c r="CN53" i="7"/>
  <c r="CM53" i="7"/>
  <c r="CJ53" i="7"/>
  <c r="CH53" i="7"/>
  <c r="CG53" i="7"/>
  <c r="CF53" i="7"/>
  <c r="CE53" i="7"/>
  <c r="CD53" i="7"/>
  <c r="BR53" i="7"/>
  <c r="AR53" i="7"/>
  <c r="AO53" i="7"/>
  <c r="AE53" i="7"/>
  <c r="Y53" i="7"/>
  <c r="H53" i="7"/>
  <c r="L53" i="7" s="1"/>
  <c r="AG53" i="7" s="1"/>
  <c r="AK53" i="7" s="1"/>
  <c r="HM52" i="7"/>
  <c r="FK52" i="7"/>
  <c r="FM52" i="7" s="1"/>
  <c r="FH52" i="7"/>
  <c r="FJ52" i="7" s="1"/>
  <c r="FE52" i="7"/>
  <c r="FG52" i="7" s="1"/>
  <c r="FA52" i="7"/>
  <c r="FD52" i="7" s="1"/>
  <c r="EG52" i="7"/>
  <c r="EI52" i="7" s="1"/>
  <c r="DI52" i="7"/>
  <c r="DH52" i="7"/>
  <c r="EW52" i="7" s="1"/>
  <c r="EZ52" i="7" s="1"/>
  <c r="DG52" i="7"/>
  <c r="DF52" i="7"/>
  <c r="DE52" i="7"/>
  <c r="DD52" i="7"/>
  <c r="CV52" i="7"/>
  <c r="CN52" i="7"/>
  <c r="CM52" i="7"/>
  <c r="CJ52" i="7"/>
  <c r="CH52" i="7"/>
  <c r="CG52" i="7"/>
  <c r="CF52" i="7"/>
  <c r="CE52" i="7"/>
  <c r="CD52" i="7"/>
  <c r="BR52" i="7"/>
  <c r="AR52" i="7"/>
  <c r="AO52" i="7"/>
  <c r="AE52" i="7"/>
  <c r="Y52" i="7"/>
  <c r="H52" i="7"/>
  <c r="L52" i="7" s="1"/>
  <c r="AG52" i="7" s="1"/>
  <c r="AK52" i="7" s="1"/>
  <c r="AL52" i="7" s="1"/>
  <c r="AM52" i="7" s="1"/>
  <c r="HM51" i="7"/>
  <c r="FK51" i="7"/>
  <c r="FM51" i="7" s="1"/>
  <c r="FH51" i="7"/>
  <c r="FJ51" i="7" s="1"/>
  <c r="FE51" i="7"/>
  <c r="FG51" i="7" s="1"/>
  <c r="FA51" i="7"/>
  <c r="FD51" i="7" s="1"/>
  <c r="EG51" i="7"/>
  <c r="EI51" i="7" s="1"/>
  <c r="DI51" i="7"/>
  <c r="DH51" i="7"/>
  <c r="EW51" i="7" s="1"/>
  <c r="EZ51" i="7" s="1"/>
  <c r="DG51" i="7"/>
  <c r="ER51" i="7" s="1"/>
  <c r="DF51" i="7"/>
  <c r="DE51" i="7"/>
  <c r="DD51" i="7"/>
  <c r="CV51" i="7"/>
  <c r="CN51" i="7"/>
  <c r="CM51" i="7"/>
  <c r="CJ51" i="7"/>
  <c r="CH51" i="7"/>
  <c r="CG51" i="7"/>
  <c r="CF51" i="7"/>
  <c r="CE51" i="7"/>
  <c r="CD51" i="7"/>
  <c r="BR51" i="7"/>
  <c r="AR51" i="7"/>
  <c r="AO51" i="7"/>
  <c r="AE51" i="7"/>
  <c r="Y51" i="7"/>
  <c r="H51" i="7"/>
  <c r="L51" i="7" s="1"/>
  <c r="HM50" i="7"/>
  <c r="FK50" i="7"/>
  <c r="FM50" i="7" s="1"/>
  <c r="FH50" i="7"/>
  <c r="FJ50" i="7" s="1"/>
  <c r="FE50" i="7"/>
  <c r="FG50" i="7" s="1"/>
  <c r="FA50" i="7"/>
  <c r="FD50" i="7" s="1"/>
  <c r="EG50" i="7"/>
  <c r="EI50" i="7" s="1"/>
  <c r="DI50" i="7"/>
  <c r="DH50" i="7"/>
  <c r="DG50" i="7"/>
  <c r="DF50" i="7"/>
  <c r="DE50" i="7"/>
  <c r="DD50" i="7"/>
  <c r="CV50" i="7"/>
  <c r="CN50" i="7"/>
  <c r="CM50" i="7"/>
  <c r="CJ50" i="7"/>
  <c r="CH50" i="7"/>
  <c r="CG50" i="7"/>
  <c r="CF50" i="7"/>
  <c r="CE50" i="7"/>
  <c r="CD50" i="7"/>
  <c r="BR50" i="7"/>
  <c r="AR50" i="7"/>
  <c r="AO50" i="7"/>
  <c r="AE50" i="7"/>
  <c r="Y50" i="7"/>
  <c r="H50" i="7"/>
  <c r="L50" i="7" s="1"/>
  <c r="EN50" i="7" s="1"/>
  <c r="HM49" i="7"/>
  <c r="FK49" i="7"/>
  <c r="FM49" i="7" s="1"/>
  <c r="FH49" i="7"/>
  <c r="FJ49" i="7" s="1"/>
  <c r="FE49" i="7"/>
  <c r="FG49" i="7" s="1"/>
  <c r="FA49" i="7"/>
  <c r="FD49" i="7" s="1"/>
  <c r="EG49" i="7"/>
  <c r="EI49" i="7" s="1"/>
  <c r="DI49" i="7"/>
  <c r="DH49" i="7"/>
  <c r="DG49" i="7"/>
  <c r="DF49" i="7"/>
  <c r="DE49" i="7"/>
  <c r="DD49" i="7"/>
  <c r="CV49" i="7"/>
  <c r="CN49" i="7"/>
  <c r="CM49" i="7"/>
  <c r="CJ49" i="7"/>
  <c r="CH49" i="7"/>
  <c r="CG49" i="7"/>
  <c r="CF49" i="7"/>
  <c r="CE49" i="7"/>
  <c r="CD49" i="7"/>
  <c r="BR49" i="7"/>
  <c r="AR49" i="7"/>
  <c r="AO49" i="7"/>
  <c r="AE49" i="7"/>
  <c r="Y49" i="7"/>
  <c r="H49" i="7"/>
  <c r="L49" i="7" s="1"/>
  <c r="EN49" i="7" s="1"/>
  <c r="HM48" i="7"/>
  <c r="FK48" i="7"/>
  <c r="FM48" i="7" s="1"/>
  <c r="FH48" i="7"/>
  <c r="FJ48" i="7" s="1"/>
  <c r="FE48" i="7"/>
  <c r="FG48" i="7" s="1"/>
  <c r="FA48" i="7"/>
  <c r="FD48" i="7" s="1"/>
  <c r="EG48" i="7"/>
  <c r="EI48" i="7" s="1"/>
  <c r="DI48" i="7"/>
  <c r="DH48" i="7"/>
  <c r="EW48" i="7" s="1"/>
  <c r="EZ48" i="7" s="1"/>
  <c r="DG48" i="7"/>
  <c r="DF48" i="7"/>
  <c r="DE48" i="7"/>
  <c r="DD48" i="7"/>
  <c r="CV48" i="7"/>
  <c r="CN48" i="7"/>
  <c r="CM48" i="7"/>
  <c r="CJ48" i="7"/>
  <c r="CH48" i="7"/>
  <c r="CG48" i="7"/>
  <c r="CF48" i="7"/>
  <c r="CE48" i="7"/>
  <c r="CD48" i="7"/>
  <c r="BR48" i="7"/>
  <c r="AR48" i="7"/>
  <c r="AO48" i="7"/>
  <c r="AE48" i="7"/>
  <c r="Y48" i="7"/>
  <c r="H48" i="7"/>
  <c r="L48" i="7" s="1"/>
  <c r="AG48" i="7" s="1"/>
  <c r="AK48" i="7" s="1"/>
  <c r="HM47" i="7"/>
  <c r="FK47" i="7"/>
  <c r="FM47" i="7" s="1"/>
  <c r="FH47" i="7"/>
  <c r="FJ47" i="7" s="1"/>
  <c r="FE47" i="7"/>
  <c r="FG47" i="7" s="1"/>
  <c r="FA47" i="7"/>
  <c r="FD47" i="7" s="1"/>
  <c r="EG47" i="7"/>
  <c r="EI47" i="7" s="1"/>
  <c r="DI47" i="7"/>
  <c r="DH47" i="7"/>
  <c r="EW47" i="7" s="1"/>
  <c r="EZ47" i="7" s="1"/>
  <c r="DG47" i="7"/>
  <c r="DF47" i="7"/>
  <c r="DE47" i="7"/>
  <c r="DD47" i="7"/>
  <c r="CV47" i="7"/>
  <c r="CN47" i="7"/>
  <c r="CM47" i="7"/>
  <c r="CJ47" i="7"/>
  <c r="CH47" i="7"/>
  <c r="CG47" i="7"/>
  <c r="CF47" i="7"/>
  <c r="CE47" i="7"/>
  <c r="CD47" i="7"/>
  <c r="BR47" i="7"/>
  <c r="AR47" i="7"/>
  <c r="AO47" i="7"/>
  <c r="AE47" i="7"/>
  <c r="Y47" i="7"/>
  <c r="H47" i="7"/>
  <c r="L47" i="7" s="1"/>
  <c r="AG47" i="7" s="1"/>
  <c r="AK47" i="7" s="1"/>
  <c r="AL47" i="7" s="1"/>
  <c r="AM47" i="7" s="1"/>
  <c r="AN47" i="7" s="1"/>
  <c r="HM46" i="7"/>
  <c r="FK46" i="7"/>
  <c r="FM46" i="7" s="1"/>
  <c r="FH46" i="7"/>
  <c r="FJ46" i="7" s="1"/>
  <c r="FE46" i="7"/>
  <c r="FG46" i="7" s="1"/>
  <c r="FA46" i="7"/>
  <c r="FD46" i="7" s="1"/>
  <c r="EG46" i="7"/>
  <c r="EI46" i="7" s="1"/>
  <c r="DI46" i="7"/>
  <c r="DH46" i="7"/>
  <c r="EW46" i="7" s="1"/>
  <c r="EZ46" i="7" s="1"/>
  <c r="DG46" i="7"/>
  <c r="ER46" i="7" s="1"/>
  <c r="EU46" i="7" s="1"/>
  <c r="DE46" i="7"/>
  <c r="DD46" i="7"/>
  <c r="CV46" i="7"/>
  <c r="CN46" i="7"/>
  <c r="CM46" i="7"/>
  <c r="CJ46" i="7"/>
  <c r="CH46" i="7"/>
  <c r="CG46" i="7"/>
  <c r="CF46" i="7"/>
  <c r="CE46" i="7"/>
  <c r="CD46" i="7"/>
  <c r="BR46" i="7"/>
  <c r="AR46" i="7"/>
  <c r="AE46" i="7"/>
  <c r="Y46" i="7"/>
  <c r="H46" i="7"/>
  <c r="L46" i="7" s="1"/>
  <c r="HM45" i="7"/>
  <c r="FK45" i="7"/>
  <c r="FM45" i="7" s="1"/>
  <c r="FH45" i="7"/>
  <c r="FJ45" i="7" s="1"/>
  <c r="FE45" i="7"/>
  <c r="FG45" i="7" s="1"/>
  <c r="FA45" i="7"/>
  <c r="FD45" i="7" s="1"/>
  <c r="EG45" i="7"/>
  <c r="EI45" i="7" s="1"/>
  <c r="DH45" i="7"/>
  <c r="EW45" i="7" s="1"/>
  <c r="EZ45" i="7" s="1"/>
  <c r="DG45" i="7"/>
  <c r="ER45" i="7" s="1"/>
  <c r="DE45" i="7"/>
  <c r="DD45" i="7"/>
  <c r="CV45" i="7"/>
  <c r="CN45" i="7"/>
  <c r="CM45" i="7"/>
  <c r="CJ45" i="7"/>
  <c r="CH45" i="7"/>
  <c r="CG45" i="7"/>
  <c r="CF45" i="7"/>
  <c r="CE45" i="7"/>
  <c r="CD45" i="7"/>
  <c r="BR45" i="7"/>
  <c r="AR45" i="7"/>
  <c r="AE45" i="7"/>
  <c r="H45" i="7"/>
  <c r="L45" i="7" s="1"/>
  <c r="AG45" i="7" s="1"/>
  <c r="AK45" i="7" s="1"/>
  <c r="AL45" i="7" s="1"/>
  <c r="AM45" i="7" s="1"/>
  <c r="HM44" i="7"/>
  <c r="FK44" i="7"/>
  <c r="FM44" i="7" s="1"/>
  <c r="FH44" i="7"/>
  <c r="FJ44" i="7" s="1"/>
  <c r="FE44" i="7"/>
  <c r="FG44" i="7" s="1"/>
  <c r="FA44" i="7"/>
  <c r="FD44" i="7" s="1"/>
  <c r="EG44" i="7"/>
  <c r="EI44" i="7" s="1"/>
  <c r="DH44" i="7"/>
  <c r="EW44" i="7" s="1"/>
  <c r="EZ44" i="7" s="1"/>
  <c r="DG44" i="7"/>
  <c r="ER44" i="7" s="1"/>
  <c r="EU44" i="7" s="1"/>
  <c r="DE44" i="7"/>
  <c r="DD44" i="7"/>
  <c r="CV44" i="7"/>
  <c r="CN44" i="7"/>
  <c r="CM44" i="7"/>
  <c r="CJ44" i="7"/>
  <c r="CH44" i="7"/>
  <c r="CG44" i="7"/>
  <c r="CF44" i="7"/>
  <c r="CE44" i="7"/>
  <c r="CD44" i="7"/>
  <c r="BR44" i="7"/>
  <c r="AR44" i="7"/>
  <c r="AE44" i="7"/>
  <c r="H44" i="7"/>
  <c r="L44" i="7" s="1"/>
  <c r="AG44" i="7" s="1"/>
  <c r="AK44" i="7" s="1"/>
  <c r="AL44" i="7" s="1"/>
  <c r="AM44" i="7" s="1"/>
  <c r="HM43" i="7"/>
  <c r="FK43" i="7"/>
  <c r="FM43" i="7" s="1"/>
  <c r="FH43" i="7"/>
  <c r="FJ43" i="7" s="1"/>
  <c r="FE43" i="7"/>
  <c r="FG43" i="7" s="1"/>
  <c r="FA43" i="7"/>
  <c r="FD43" i="7" s="1"/>
  <c r="EG43" i="7"/>
  <c r="EI43" i="7" s="1"/>
  <c r="DH43" i="7"/>
  <c r="EW43" i="7" s="1"/>
  <c r="EZ43" i="7" s="1"/>
  <c r="DG43" i="7"/>
  <c r="ER43" i="7" s="1"/>
  <c r="DE43" i="7"/>
  <c r="DD43" i="7"/>
  <c r="CV43" i="7"/>
  <c r="CN43" i="7"/>
  <c r="CM43" i="7"/>
  <c r="CJ43" i="7"/>
  <c r="CH43" i="7"/>
  <c r="CG43" i="7"/>
  <c r="CF43" i="7"/>
  <c r="CE43" i="7"/>
  <c r="CD43" i="7"/>
  <c r="BR43" i="7"/>
  <c r="AR43" i="7"/>
  <c r="AE43" i="7"/>
  <c r="H43" i="7"/>
  <c r="L43" i="7" s="1"/>
  <c r="AG43" i="7" s="1"/>
  <c r="AK43" i="7" s="1"/>
  <c r="HM42" i="7"/>
  <c r="FK42" i="7"/>
  <c r="FM42" i="7" s="1"/>
  <c r="FH42" i="7"/>
  <c r="FJ42" i="7" s="1"/>
  <c r="FE42" i="7"/>
  <c r="FG42" i="7" s="1"/>
  <c r="FA42" i="7"/>
  <c r="FD42" i="7" s="1"/>
  <c r="EG42" i="7"/>
  <c r="EI42" i="7" s="1"/>
  <c r="DH42" i="7"/>
  <c r="EW42" i="7" s="1"/>
  <c r="EZ42" i="7" s="1"/>
  <c r="DG42" i="7"/>
  <c r="ER42" i="7" s="1"/>
  <c r="DE42" i="7"/>
  <c r="DD42" i="7"/>
  <c r="CV42" i="7"/>
  <c r="CN42" i="7"/>
  <c r="CM42" i="7"/>
  <c r="CJ42" i="7"/>
  <c r="CH42" i="7"/>
  <c r="CG42" i="7"/>
  <c r="CF42" i="7"/>
  <c r="CE42" i="7"/>
  <c r="CD42" i="7"/>
  <c r="BR42" i="7"/>
  <c r="AR42" i="7"/>
  <c r="AE42" i="7"/>
  <c r="H42" i="7"/>
  <c r="L42" i="7" s="1"/>
  <c r="AG42" i="7" s="1"/>
  <c r="AK42" i="7" s="1"/>
  <c r="AL42" i="7" s="1"/>
  <c r="AM42" i="7" s="1"/>
  <c r="HM41" i="7"/>
  <c r="FK41" i="7"/>
  <c r="FM41" i="7" s="1"/>
  <c r="FH41" i="7"/>
  <c r="FJ41" i="7" s="1"/>
  <c r="FE41" i="7"/>
  <c r="FG41" i="7" s="1"/>
  <c r="FA41" i="7"/>
  <c r="FD41" i="7" s="1"/>
  <c r="EG41" i="7"/>
  <c r="EI41" i="7" s="1"/>
  <c r="DH41" i="7"/>
  <c r="EW41" i="7" s="1"/>
  <c r="EZ41" i="7" s="1"/>
  <c r="DG41" i="7"/>
  <c r="ER41" i="7" s="1"/>
  <c r="DE41" i="7"/>
  <c r="DD41" i="7"/>
  <c r="CV41" i="7"/>
  <c r="CN41" i="7"/>
  <c r="CM41" i="7"/>
  <c r="CJ41" i="7"/>
  <c r="CH41" i="7"/>
  <c r="CG41" i="7"/>
  <c r="CF41" i="7"/>
  <c r="CE41" i="7"/>
  <c r="CD41" i="7"/>
  <c r="BR41" i="7"/>
  <c r="AR41" i="7"/>
  <c r="AE41" i="7"/>
  <c r="H41" i="7"/>
  <c r="L41" i="7" s="1"/>
  <c r="EN41" i="7" s="1"/>
  <c r="HM40" i="7"/>
  <c r="FK40" i="7"/>
  <c r="FM40" i="7" s="1"/>
  <c r="FH40" i="7"/>
  <c r="FJ40" i="7" s="1"/>
  <c r="FE40" i="7"/>
  <c r="FG40" i="7" s="1"/>
  <c r="FA40" i="7"/>
  <c r="FD40" i="7" s="1"/>
  <c r="EG40" i="7"/>
  <c r="EI40" i="7" s="1"/>
  <c r="DH40" i="7"/>
  <c r="EW40" i="7" s="1"/>
  <c r="EZ40" i="7" s="1"/>
  <c r="DG40" i="7"/>
  <c r="ER40" i="7" s="1"/>
  <c r="EU40" i="7" s="1"/>
  <c r="DE40" i="7"/>
  <c r="DD40" i="7"/>
  <c r="CV40" i="7"/>
  <c r="CN40" i="7"/>
  <c r="CM40" i="7"/>
  <c r="CJ40" i="7"/>
  <c r="CH40" i="7"/>
  <c r="CG40" i="7"/>
  <c r="CF40" i="7"/>
  <c r="CE40" i="7"/>
  <c r="CD40" i="7"/>
  <c r="BR40" i="7"/>
  <c r="AR40" i="7"/>
  <c r="AE40" i="7"/>
  <c r="H40" i="7"/>
  <c r="L40" i="7" s="1"/>
  <c r="HM39" i="7"/>
  <c r="FK39" i="7"/>
  <c r="FM39" i="7" s="1"/>
  <c r="FH39" i="7"/>
  <c r="FJ39" i="7" s="1"/>
  <c r="FE39" i="7"/>
  <c r="FG39" i="7" s="1"/>
  <c r="FA39" i="7"/>
  <c r="FD39" i="7" s="1"/>
  <c r="EG39" i="7"/>
  <c r="EI39" i="7" s="1"/>
  <c r="DH39" i="7"/>
  <c r="EW39" i="7" s="1"/>
  <c r="EZ39" i="7" s="1"/>
  <c r="DG39" i="7"/>
  <c r="ER39" i="7" s="1"/>
  <c r="DE39" i="7"/>
  <c r="DD39" i="7"/>
  <c r="CV39" i="7"/>
  <c r="CN39" i="7"/>
  <c r="CM39" i="7"/>
  <c r="CJ39" i="7"/>
  <c r="CH39" i="7"/>
  <c r="CG39" i="7"/>
  <c r="CF39" i="7"/>
  <c r="CE39" i="7"/>
  <c r="CD39" i="7"/>
  <c r="BR39" i="7"/>
  <c r="AR39" i="7"/>
  <c r="AE39" i="7"/>
  <c r="H39" i="7"/>
  <c r="L39" i="7" s="1"/>
  <c r="AG39" i="7" s="1"/>
  <c r="AK39" i="7" s="1"/>
  <c r="AL39" i="7" s="1"/>
  <c r="AM39" i="7" s="1"/>
  <c r="HM38" i="7"/>
  <c r="FK38" i="7"/>
  <c r="FM38" i="7" s="1"/>
  <c r="FH38" i="7"/>
  <c r="FJ38" i="7" s="1"/>
  <c r="FE38" i="7"/>
  <c r="FG38" i="7" s="1"/>
  <c r="FA38" i="7"/>
  <c r="FD38" i="7" s="1"/>
  <c r="EG38" i="7"/>
  <c r="EI38" i="7" s="1"/>
  <c r="DH38" i="7"/>
  <c r="EW38" i="7" s="1"/>
  <c r="EZ38" i="7" s="1"/>
  <c r="DG38" i="7"/>
  <c r="ER38" i="7" s="1"/>
  <c r="DE38" i="7"/>
  <c r="DD38" i="7"/>
  <c r="CV38" i="7"/>
  <c r="CN38" i="7"/>
  <c r="CJ38" i="7"/>
  <c r="CH38" i="7"/>
  <c r="CG38" i="7"/>
  <c r="CF38" i="7"/>
  <c r="CE38" i="7"/>
  <c r="CD38" i="7"/>
  <c r="BR38" i="7"/>
  <c r="AR38" i="7"/>
  <c r="AE38" i="7"/>
  <c r="H38" i="7"/>
  <c r="L38" i="7" s="1"/>
  <c r="AG38" i="7" s="1"/>
  <c r="AK38" i="7" s="1"/>
  <c r="HM37" i="7"/>
  <c r="FK37" i="7"/>
  <c r="FM37" i="7" s="1"/>
  <c r="FH37" i="7"/>
  <c r="FJ37" i="7" s="1"/>
  <c r="FE37" i="7"/>
  <c r="FG37" i="7" s="1"/>
  <c r="FA37" i="7"/>
  <c r="FD37" i="7" s="1"/>
  <c r="EG37" i="7"/>
  <c r="EI37" i="7" s="1"/>
  <c r="DH37" i="7"/>
  <c r="EW37" i="7" s="1"/>
  <c r="EZ37" i="7" s="1"/>
  <c r="DG37" i="7"/>
  <c r="ER37" i="7" s="1"/>
  <c r="DE37" i="7"/>
  <c r="DD37" i="7"/>
  <c r="CV37" i="7"/>
  <c r="CN37" i="7"/>
  <c r="CJ37" i="7"/>
  <c r="CH37" i="7"/>
  <c r="CG37" i="7"/>
  <c r="CF37" i="7"/>
  <c r="CE37" i="7"/>
  <c r="CD37" i="7"/>
  <c r="BR37" i="7"/>
  <c r="AR37" i="7"/>
  <c r="AE37" i="7"/>
  <c r="H37" i="7"/>
  <c r="L37" i="7" s="1"/>
  <c r="AG37" i="7" s="1"/>
  <c r="AK37" i="7" s="1"/>
  <c r="AL37" i="7" s="1"/>
  <c r="AM37" i="7" s="1"/>
  <c r="HM36" i="7"/>
  <c r="FK36" i="7"/>
  <c r="FM36" i="7" s="1"/>
  <c r="FH36" i="7"/>
  <c r="FJ36" i="7" s="1"/>
  <c r="FE36" i="7"/>
  <c r="FG36" i="7" s="1"/>
  <c r="FA36" i="7"/>
  <c r="FD36" i="7" s="1"/>
  <c r="EG36" i="7"/>
  <c r="EI36" i="7" s="1"/>
  <c r="DH36" i="7"/>
  <c r="EW36" i="7" s="1"/>
  <c r="EZ36" i="7" s="1"/>
  <c r="DG36" i="7"/>
  <c r="ER36" i="7" s="1"/>
  <c r="DE36" i="7"/>
  <c r="DD36" i="7"/>
  <c r="CV36" i="7"/>
  <c r="CN36" i="7"/>
  <c r="CJ36" i="7"/>
  <c r="CH36" i="7"/>
  <c r="CG36" i="7"/>
  <c r="CF36" i="7"/>
  <c r="CE36" i="7"/>
  <c r="CD36" i="7"/>
  <c r="BR36" i="7"/>
  <c r="AR36" i="7"/>
  <c r="AE36" i="7"/>
  <c r="H36" i="7"/>
  <c r="L36" i="7" s="1"/>
  <c r="AG36" i="7" s="1"/>
  <c r="AK36" i="7" s="1"/>
  <c r="AL36" i="7" s="1"/>
  <c r="AM36" i="7" s="1"/>
  <c r="HM35" i="7"/>
  <c r="FK35" i="7"/>
  <c r="FM35" i="7" s="1"/>
  <c r="FH35" i="7"/>
  <c r="FJ35" i="7" s="1"/>
  <c r="FE35" i="7"/>
  <c r="FG35" i="7" s="1"/>
  <c r="FA35" i="7"/>
  <c r="FD35" i="7" s="1"/>
  <c r="EG35" i="7"/>
  <c r="EI35" i="7" s="1"/>
  <c r="DH35" i="7"/>
  <c r="EW35" i="7" s="1"/>
  <c r="EZ35" i="7" s="1"/>
  <c r="DG35" i="7"/>
  <c r="ER35" i="7" s="1"/>
  <c r="DE35" i="7"/>
  <c r="DD35" i="7"/>
  <c r="CV35" i="7"/>
  <c r="CN35" i="7"/>
  <c r="CJ35" i="7"/>
  <c r="CH35" i="7"/>
  <c r="CG35" i="7"/>
  <c r="CF35" i="7"/>
  <c r="CE35" i="7"/>
  <c r="CD35" i="7"/>
  <c r="BR35" i="7"/>
  <c r="AR35" i="7"/>
  <c r="AE35" i="7"/>
  <c r="H35" i="7"/>
  <c r="L35" i="7" s="1"/>
  <c r="AG35" i="7" s="1"/>
  <c r="AK35" i="7" s="1"/>
  <c r="AL35" i="7" s="1"/>
  <c r="AM35" i="7" s="1"/>
  <c r="HM34" i="7"/>
  <c r="FK34" i="7"/>
  <c r="FM34" i="7" s="1"/>
  <c r="FH34" i="7"/>
  <c r="FJ34" i="7" s="1"/>
  <c r="FE34" i="7"/>
  <c r="FG34" i="7" s="1"/>
  <c r="FA34" i="7"/>
  <c r="FD34" i="7" s="1"/>
  <c r="EG34" i="7"/>
  <c r="EI34" i="7" s="1"/>
  <c r="DH34" i="7"/>
  <c r="EW34" i="7" s="1"/>
  <c r="EZ34" i="7" s="1"/>
  <c r="DG34" i="7"/>
  <c r="ER34" i="7" s="1"/>
  <c r="DE34" i="7"/>
  <c r="DD34" i="7"/>
  <c r="CV34" i="7"/>
  <c r="CN34" i="7"/>
  <c r="CJ34" i="7"/>
  <c r="CH34" i="7"/>
  <c r="CG34" i="7"/>
  <c r="CF34" i="7"/>
  <c r="CE34" i="7"/>
  <c r="CD34" i="7"/>
  <c r="BR34" i="7"/>
  <c r="AR34" i="7"/>
  <c r="AE34" i="7"/>
  <c r="H34" i="7"/>
  <c r="L34" i="7" s="1"/>
  <c r="AG34" i="7" s="1"/>
  <c r="AK34" i="7" s="1"/>
  <c r="HM33" i="7"/>
  <c r="FK33" i="7"/>
  <c r="FM33" i="7" s="1"/>
  <c r="FH33" i="7"/>
  <c r="FJ33" i="7" s="1"/>
  <c r="FE33" i="7"/>
  <c r="FG33" i="7" s="1"/>
  <c r="FA33" i="7"/>
  <c r="FD33" i="7" s="1"/>
  <c r="EG33" i="7"/>
  <c r="EI33" i="7" s="1"/>
  <c r="DH33" i="7"/>
  <c r="EW33" i="7" s="1"/>
  <c r="EZ33" i="7" s="1"/>
  <c r="DG33" i="7"/>
  <c r="ER33" i="7" s="1"/>
  <c r="DE33" i="7"/>
  <c r="DD33" i="7"/>
  <c r="CV33" i="7"/>
  <c r="CJ33" i="7"/>
  <c r="CH33" i="7"/>
  <c r="CG33" i="7"/>
  <c r="CF33" i="7"/>
  <c r="CE33" i="7"/>
  <c r="CD33" i="7"/>
  <c r="BR33" i="7"/>
  <c r="AR33" i="7"/>
  <c r="AE33" i="7"/>
  <c r="H33" i="7"/>
  <c r="L33" i="7" s="1"/>
  <c r="EN33" i="7" s="1"/>
  <c r="HM32" i="7"/>
  <c r="FK32" i="7"/>
  <c r="FM32" i="7" s="1"/>
  <c r="FH32" i="7"/>
  <c r="FJ32" i="7" s="1"/>
  <c r="FE32" i="7"/>
  <c r="FG32" i="7" s="1"/>
  <c r="FA32" i="7"/>
  <c r="FD32" i="7" s="1"/>
  <c r="EG32" i="7"/>
  <c r="EI32" i="7" s="1"/>
  <c r="DH32" i="7"/>
  <c r="EW32" i="7" s="1"/>
  <c r="EZ32" i="7" s="1"/>
  <c r="DG32" i="7"/>
  <c r="ER32" i="7" s="1"/>
  <c r="DE32" i="7"/>
  <c r="DD32" i="7"/>
  <c r="CV32" i="7"/>
  <c r="CJ32" i="7"/>
  <c r="CH32" i="7"/>
  <c r="CG32" i="7"/>
  <c r="CF32" i="7"/>
  <c r="CE32" i="7"/>
  <c r="CD32" i="7"/>
  <c r="BR32" i="7"/>
  <c r="AR32" i="7"/>
  <c r="AE32" i="7"/>
  <c r="H32" i="7"/>
  <c r="L32" i="7" s="1"/>
  <c r="HM31" i="7"/>
  <c r="FK31" i="7"/>
  <c r="FM31" i="7" s="1"/>
  <c r="FH31" i="7"/>
  <c r="FJ31" i="7" s="1"/>
  <c r="FE31" i="7"/>
  <c r="FG31" i="7" s="1"/>
  <c r="FA31" i="7"/>
  <c r="FD31" i="7" s="1"/>
  <c r="EG31" i="7"/>
  <c r="EI31" i="7" s="1"/>
  <c r="DH31" i="7"/>
  <c r="EW31" i="7" s="1"/>
  <c r="EZ31" i="7" s="1"/>
  <c r="DG31" i="7"/>
  <c r="ER31" i="7" s="1"/>
  <c r="DE31" i="7"/>
  <c r="DD31" i="7"/>
  <c r="CV31" i="7"/>
  <c r="CJ31" i="7"/>
  <c r="CH31" i="7"/>
  <c r="CG31" i="7"/>
  <c r="CF31" i="7"/>
  <c r="CE31" i="7"/>
  <c r="CD31" i="7"/>
  <c r="BR31" i="7"/>
  <c r="AR31" i="7"/>
  <c r="AE31" i="7"/>
  <c r="H31" i="7"/>
  <c r="L31" i="7" s="1"/>
  <c r="HM30" i="7"/>
  <c r="FK30" i="7"/>
  <c r="FM30" i="7" s="1"/>
  <c r="FH30" i="7"/>
  <c r="FJ30" i="7" s="1"/>
  <c r="FE30" i="7"/>
  <c r="FG30" i="7" s="1"/>
  <c r="FA30" i="7"/>
  <c r="FD30" i="7" s="1"/>
  <c r="EG30" i="7"/>
  <c r="EI30" i="7" s="1"/>
  <c r="DH30" i="7"/>
  <c r="EW30" i="7" s="1"/>
  <c r="EZ30" i="7" s="1"/>
  <c r="DG30" i="7"/>
  <c r="ER30" i="7" s="1"/>
  <c r="EU30" i="7" s="1"/>
  <c r="DE30" i="7"/>
  <c r="DD30" i="7"/>
  <c r="CV30" i="7"/>
  <c r="CJ30" i="7"/>
  <c r="CH30" i="7"/>
  <c r="CG30" i="7"/>
  <c r="CF30" i="7"/>
  <c r="CE30" i="7"/>
  <c r="CD30" i="7"/>
  <c r="BR30" i="7"/>
  <c r="AR30" i="7"/>
  <c r="AE30" i="7"/>
  <c r="H30" i="7"/>
  <c r="L30" i="7" s="1"/>
  <c r="AG30" i="7" s="1"/>
  <c r="AK30" i="7" s="1"/>
  <c r="AL30" i="7" s="1"/>
  <c r="AM30" i="7" s="1"/>
  <c r="HM29" i="7"/>
  <c r="FK29" i="7"/>
  <c r="FM29" i="7" s="1"/>
  <c r="FH29" i="7"/>
  <c r="FJ29" i="7" s="1"/>
  <c r="FE29" i="7"/>
  <c r="FG29" i="7" s="1"/>
  <c r="FA29" i="7"/>
  <c r="FD29" i="7" s="1"/>
  <c r="EG29" i="7"/>
  <c r="EI29" i="7" s="1"/>
  <c r="DH29" i="7"/>
  <c r="EW29" i="7" s="1"/>
  <c r="EZ29" i="7" s="1"/>
  <c r="DG29" i="7"/>
  <c r="ER29" i="7" s="1"/>
  <c r="DE29" i="7"/>
  <c r="DD29" i="7"/>
  <c r="CV29" i="7"/>
  <c r="CJ29" i="7"/>
  <c r="CH29" i="7"/>
  <c r="CG29" i="7"/>
  <c r="CF29" i="7"/>
  <c r="CE29" i="7"/>
  <c r="CD29" i="7"/>
  <c r="BR29" i="7"/>
  <c r="AR29" i="7"/>
  <c r="AE29" i="7"/>
  <c r="H29" i="7"/>
  <c r="L29" i="7" s="1"/>
  <c r="HM28" i="7"/>
  <c r="FK28" i="7"/>
  <c r="FM28" i="7" s="1"/>
  <c r="FH28" i="7"/>
  <c r="FJ28" i="7" s="1"/>
  <c r="FE28" i="7"/>
  <c r="FG28" i="7" s="1"/>
  <c r="FA28" i="7"/>
  <c r="FD28" i="7" s="1"/>
  <c r="EG28" i="7"/>
  <c r="EI28" i="7" s="1"/>
  <c r="DH28" i="7"/>
  <c r="EW28" i="7" s="1"/>
  <c r="EZ28" i="7" s="1"/>
  <c r="DG28" i="7"/>
  <c r="ER28" i="7" s="1"/>
  <c r="DE28" i="7"/>
  <c r="DD28" i="7"/>
  <c r="CV28" i="7"/>
  <c r="CJ28" i="7"/>
  <c r="CH28" i="7"/>
  <c r="CG28" i="7"/>
  <c r="CF28" i="7"/>
  <c r="CE28" i="7"/>
  <c r="CD28" i="7"/>
  <c r="BR28" i="7"/>
  <c r="AR28" i="7"/>
  <c r="AE28" i="7"/>
  <c r="H28" i="7"/>
  <c r="L28" i="7" s="1"/>
  <c r="HM27" i="7"/>
  <c r="FK27" i="7"/>
  <c r="FM27" i="7" s="1"/>
  <c r="FH27" i="7"/>
  <c r="FJ27" i="7" s="1"/>
  <c r="FE27" i="7"/>
  <c r="FG27" i="7" s="1"/>
  <c r="FA27" i="7"/>
  <c r="FD27" i="7" s="1"/>
  <c r="EG27" i="7"/>
  <c r="EI27" i="7" s="1"/>
  <c r="DH27" i="7"/>
  <c r="EW27" i="7" s="1"/>
  <c r="EZ27" i="7" s="1"/>
  <c r="DG27" i="7"/>
  <c r="ER27" i="7" s="1"/>
  <c r="DE27" i="7"/>
  <c r="DD27" i="7"/>
  <c r="CV27" i="7"/>
  <c r="CJ27" i="7"/>
  <c r="CH27" i="7"/>
  <c r="CG27" i="7"/>
  <c r="CF27" i="7"/>
  <c r="CE27" i="7"/>
  <c r="CD27" i="7"/>
  <c r="BR27" i="7"/>
  <c r="AR27" i="7"/>
  <c r="AE27" i="7"/>
  <c r="H27" i="7"/>
  <c r="L27" i="7" s="1"/>
  <c r="HM26" i="7"/>
  <c r="FK26" i="7"/>
  <c r="FM26" i="7" s="1"/>
  <c r="FH26" i="7"/>
  <c r="FJ26" i="7" s="1"/>
  <c r="FE26" i="7"/>
  <c r="FG26" i="7" s="1"/>
  <c r="FA26" i="7"/>
  <c r="FD26" i="7" s="1"/>
  <c r="EG26" i="7"/>
  <c r="EI26" i="7" s="1"/>
  <c r="DH26" i="7"/>
  <c r="EW26" i="7" s="1"/>
  <c r="EZ26" i="7" s="1"/>
  <c r="DG26" i="7"/>
  <c r="ER26" i="7" s="1"/>
  <c r="EU26" i="7" s="1"/>
  <c r="DE26" i="7"/>
  <c r="DD26" i="7"/>
  <c r="CV26" i="7"/>
  <c r="CJ26" i="7"/>
  <c r="CH26" i="7"/>
  <c r="CG26" i="7"/>
  <c r="CF26" i="7"/>
  <c r="CE26" i="7"/>
  <c r="CD26" i="7"/>
  <c r="BR26" i="7"/>
  <c r="AR26" i="7"/>
  <c r="AE26" i="7"/>
  <c r="H26" i="7"/>
  <c r="L26" i="7" s="1"/>
  <c r="AG26" i="7" s="1"/>
  <c r="AK26" i="7" s="1"/>
  <c r="AL26" i="7" s="1"/>
  <c r="AM26" i="7" s="1"/>
  <c r="HM25" i="7"/>
  <c r="FK25" i="7"/>
  <c r="FM25" i="7" s="1"/>
  <c r="FH25" i="7"/>
  <c r="FJ25" i="7" s="1"/>
  <c r="FE25" i="7"/>
  <c r="FG25" i="7" s="1"/>
  <c r="FA25" i="7"/>
  <c r="FD25" i="7" s="1"/>
  <c r="EG25" i="7"/>
  <c r="EI25" i="7" s="1"/>
  <c r="DH25" i="7"/>
  <c r="EW25" i="7" s="1"/>
  <c r="EZ25" i="7" s="1"/>
  <c r="DG25" i="7"/>
  <c r="ER25" i="7" s="1"/>
  <c r="DE25" i="7"/>
  <c r="DD25" i="7"/>
  <c r="CV25" i="7"/>
  <c r="CJ25" i="7"/>
  <c r="CH25" i="7"/>
  <c r="CG25" i="7"/>
  <c r="CF25" i="7"/>
  <c r="CE25" i="7"/>
  <c r="CD25" i="7"/>
  <c r="BR25" i="7"/>
  <c r="AR25" i="7"/>
  <c r="AE25" i="7"/>
  <c r="H25" i="7"/>
  <c r="L25" i="7" s="1"/>
  <c r="HM24" i="7"/>
  <c r="FK24" i="7"/>
  <c r="FM24" i="7" s="1"/>
  <c r="FH24" i="7"/>
  <c r="FJ24" i="7" s="1"/>
  <c r="FE24" i="7"/>
  <c r="FG24" i="7" s="1"/>
  <c r="FA24" i="7"/>
  <c r="FD24" i="7" s="1"/>
  <c r="EG24" i="7"/>
  <c r="EI24" i="7" s="1"/>
  <c r="DH24" i="7"/>
  <c r="EW24" i="7" s="1"/>
  <c r="EZ24" i="7" s="1"/>
  <c r="DG24" i="7"/>
  <c r="ER24" i="7" s="1"/>
  <c r="DE24" i="7"/>
  <c r="DD24" i="7"/>
  <c r="CV24" i="7"/>
  <c r="CJ24" i="7"/>
  <c r="CH24" i="7"/>
  <c r="CG24" i="7"/>
  <c r="CF24" i="7"/>
  <c r="CE24" i="7"/>
  <c r="CD24" i="7"/>
  <c r="BR24" i="7"/>
  <c r="AR24" i="7"/>
  <c r="AE24" i="7"/>
  <c r="H24" i="7"/>
  <c r="L24" i="7" s="1"/>
  <c r="HM23" i="7"/>
  <c r="FK23" i="7"/>
  <c r="FM23" i="7" s="1"/>
  <c r="FH23" i="7"/>
  <c r="FJ23" i="7" s="1"/>
  <c r="FE23" i="7"/>
  <c r="FG23" i="7" s="1"/>
  <c r="FA23" i="7"/>
  <c r="FD23" i="7" s="1"/>
  <c r="EG23" i="7"/>
  <c r="EI23" i="7" s="1"/>
  <c r="DH23" i="7"/>
  <c r="EW23" i="7" s="1"/>
  <c r="EZ23" i="7" s="1"/>
  <c r="DG23" i="7"/>
  <c r="ER23" i="7" s="1"/>
  <c r="DE23" i="7"/>
  <c r="DD23" i="7"/>
  <c r="CV23" i="7"/>
  <c r="CJ23" i="7"/>
  <c r="CH23" i="7"/>
  <c r="CG23" i="7"/>
  <c r="CF23" i="7"/>
  <c r="CE23" i="7"/>
  <c r="CD23" i="7"/>
  <c r="BR23" i="7"/>
  <c r="AR23" i="7"/>
  <c r="AE23" i="7"/>
  <c r="H23" i="7"/>
  <c r="L23" i="7" s="1"/>
  <c r="HM22" i="7"/>
  <c r="FK22" i="7"/>
  <c r="FM22" i="7" s="1"/>
  <c r="FH22" i="7"/>
  <c r="FJ22" i="7" s="1"/>
  <c r="FE22" i="7"/>
  <c r="FG22" i="7" s="1"/>
  <c r="FA22" i="7"/>
  <c r="FD22" i="7" s="1"/>
  <c r="EG22" i="7"/>
  <c r="EI22" i="7" s="1"/>
  <c r="DH22" i="7"/>
  <c r="EW22" i="7" s="1"/>
  <c r="EZ22" i="7" s="1"/>
  <c r="DG22" i="7"/>
  <c r="ER22" i="7" s="1"/>
  <c r="EU22" i="7" s="1"/>
  <c r="DE22" i="7"/>
  <c r="DD22" i="7"/>
  <c r="CV22" i="7"/>
  <c r="CJ22" i="7"/>
  <c r="CH22" i="7"/>
  <c r="CG22" i="7"/>
  <c r="CF22" i="7"/>
  <c r="CE22" i="7"/>
  <c r="CD22" i="7"/>
  <c r="BR22" i="7"/>
  <c r="AR22" i="7"/>
  <c r="AE22" i="7"/>
  <c r="H22" i="7"/>
  <c r="L22" i="7" s="1"/>
  <c r="AG22" i="7" s="1"/>
  <c r="AK22" i="7" s="1"/>
  <c r="AL22" i="7" s="1"/>
  <c r="AM22" i="7" s="1"/>
  <c r="HM21" i="7"/>
  <c r="FK21" i="7"/>
  <c r="FM21" i="7" s="1"/>
  <c r="FH21" i="7"/>
  <c r="FJ21" i="7" s="1"/>
  <c r="FE21" i="7"/>
  <c r="FG21" i="7" s="1"/>
  <c r="FA21" i="7"/>
  <c r="FD21" i="7" s="1"/>
  <c r="EG21" i="7"/>
  <c r="EI21" i="7" s="1"/>
  <c r="DH21" i="7"/>
  <c r="EW21" i="7" s="1"/>
  <c r="EZ21" i="7" s="1"/>
  <c r="DG21" i="7"/>
  <c r="ER21" i="7" s="1"/>
  <c r="DE21" i="7"/>
  <c r="DD21" i="7"/>
  <c r="CV21" i="7"/>
  <c r="CJ21" i="7"/>
  <c r="CH21" i="7"/>
  <c r="CG21" i="7"/>
  <c r="CF21" i="7"/>
  <c r="CE21" i="7"/>
  <c r="CD21" i="7"/>
  <c r="BR21" i="7"/>
  <c r="AE21" i="7"/>
  <c r="H21" i="7"/>
  <c r="L21" i="7" s="1"/>
  <c r="HM20" i="7"/>
  <c r="FK20" i="7"/>
  <c r="FM20" i="7" s="1"/>
  <c r="FH20" i="7"/>
  <c r="FJ20" i="7" s="1"/>
  <c r="FE20" i="7"/>
  <c r="FG20" i="7" s="1"/>
  <c r="FA20" i="7"/>
  <c r="FD20" i="7" s="1"/>
  <c r="EG20" i="7"/>
  <c r="EI20" i="7" s="1"/>
  <c r="DH20" i="7"/>
  <c r="EW20" i="7" s="1"/>
  <c r="EZ20" i="7" s="1"/>
  <c r="DG20" i="7"/>
  <c r="ER20" i="7" s="1"/>
  <c r="DE20" i="7"/>
  <c r="DD20" i="7"/>
  <c r="CD20" i="7"/>
  <c r="BR20" i="7"/>
  <c r="H20" i="7"/>
  <c r="L20" i="7" s="1"/>
  <c r="EP20" i="7" s="1"/>
  <c r="FO20" i="7" s="1"/>
  <c r="HM19" i="7"/>
  <c r="FK19" i="7"/>
  <c r="FM19" i="7" s="1"/>
  <c r="FH19" i="7"/>
  <c r="FJ19" i="7" s="1"/>
  <c r="FE19" i="7"/>
  <c r="FG19" i="7" s="1"/>
  <c r="FA19" i="7"/>
  <c r="FD19" i="7" s="1"/>
  <c r="EG19" i="7"/>
  <c r="EI19" i="7" s="1"/>
  <c r="DH19" i="7"/>
  <c r="EW19" i="7" s="1"/>
  <c r="EZ19" i="7" s="1"/>
  <c r="DG19" i="7"/>
  <c r="ER19" i="7" s="1"/>
  <c r="DE19" i="7"/>
  <c r="DD19" i="7"/>
  <c r="CD19" i="7"/>
  <c r="BR19" i="7"/>
  <c r="H19" i="7"/>
  <c r="L19" i="7" s="1"/>
  <c r="EP19" i="7" s="1"/>
  <c r="FO19" i="7" s="1"/>
  <c r="HM18" i="7"/>
  <c r="FK18" i="7"/>
  <c r="FM18" i="7" s="1"/>
  <c r="FH18" i="7"/>
  <c r="FJ18" i="7" s="1"/>
  <c r="FE18" i="7"/>
  <c r="FG18" i="7" s="1"/>
  <c r="FA18" i="7"/>
  <c r="FD18" i="7" s="1"/>
  <c r="EG18" i="7"/>
  <c r="EI18" i="7" s="1"/>
  <c r="DH18" i="7"/>
  <c r="EW18" i="7" s="1"/>
  <c r="EZ18" i="7" s="1"/>
  <c r="DG18" i="7"/>
  <c r="ER18" i="7" s="1"/>
  <c r="DE18" i="7"/>
  <c r="DD18" i="7"/>
  <c r="CD18" i="7"/>
  <c r="BR18" i="7"/>
  <c r="H18" i="7"/>
  <c r="L18" i="7" s="1"/>
  <c r="EP18" i="7" s="1"/>
  <c r="FO18" i="7" s="1"/>
  <c r="HM17" i="7"/>
  <c r="FK17" i="7"/>
  <c r="FM17" i="7" s="1"/>
  <c r="FH17" i="7"/>
  <c r="FJ17" i="7" s="1"/>
  <c r="FE17" i="7"/>
  <c r="FG17" i="7" s="1"/>
  <c r="FA17" i="7"/>
  <c r="FD17" i="7" s="1"/>
  <c r="EG17" i="7"/>
  <c r="EI17" i="7" s="1"/>
  <c r="DH17" i="7"/>
  <c r="EW17" i="7" s="1"/>
  <c r="EZ17" i="7" s="1"/>
  <c r="DG17" i="7"/>
  <c r="ER17" i="7" s="1"/>
  <c r="EU17" i="7" s="1"/>
  <c r="CD17" i="7"/>
  <c r="BR17" i="7"/>
  <c r="H17" i="7"/>
  <c r="L17" i="7" s="1"/>
  <c r="HM16" i="7"/>
  <c r="CD16" i="7"/>
  <c r="BR16" i="7"/>
  <c r="H16" i="7"/>
  <c r="L16" i="7" s="1"/>
  <c r="HM15" i="7"/>
  <c r="CD15" i="7"/>
  <c r="BR15" i="7"/>
  <c r="H15" i="7"/>
  <c r="L15" i="7" s="1"/>
  <c r="HM14" i="7"/>
  <c r="CD14" i="7"/>
  <c r="BR14" i="7"/>
  <c r="H14" i="7"/>
  <c r="L14" i="7" s="1"/>
  <c r="HM13" i="7"/>
  <c r="CD13" i="7"/>
  <c r="BR13" i="7"/>
  <c r="H13" i="7"/>
  <c r="L13" i="7" s="1"/>
  <c r="HM12" i="7"/>
  <c r="CD12" i="7"/>
  <c r="BR12" i="7"/>
  <c r="H12" i="7"/>
  <c r="L12" i="7" s="1"/>
  <c r="HM11" i="7"/>
  <c r="CD11" i="7"/>
  <c r="BR11" i="7"/>
  <c r="H11" i="7"/>
  <c r="L11" i="7" s="1"/>
  <c r="HM10" i="7"/>
  <c r="CD10" i="7"/>
  <c r="BR10" i="7"/>
  <c r="H10" i="7"/>
  <c r="L10" i="7" s="1"/>
  <c r="HM9" i="7"/>
  <c r="CD9" i="7"/>
  <c r="BR9" i="7"/>
  <c r="H9" i="7"/>
  <c r="L9" i="7" s="1"/>
  <c r="HM8" i="7"/>
  <c r="CD8" i="7"/>
  <c r="BR8" i="7"/>
  <c r="H8" i="7"/>
  <c r="L8" i="7" s="1"/>
  <c r="HM7" i="7"/>
  <c r="CD7" i="7"/>
  <c r="BR7" i="7"/>
  <c r="H7" i="7"/>
  <c r="L7" i="7" s="1"/>
  <c r="HM6" i="7"/>
  <c r="CD6" i="7"/>
  <c r="BR6" i="7"/>
  <c r="H6" i="7"/>
  <c r="L6" i="7" s="1"/>
  <c r="CO3" i="7"/>
  <c r="CN3" i="7"/>
  <c r="CM3" i="7"/>
  <c r="CL3" i="7"/>
  <c r="CK3" i="7"/>
  <c r="CJ3" i="7"/>
  <c r="CI3" i="7"/>
  <c r="CH3" i="7"/>
  <c r="CG3" i="7"/>
  <c r="CF3" i="7"/>
  <c r="CE3" i="7"/>
  <c r="HP2" i="7"/>
  <c r="HO2" i="7"/>
  <c r="HN2" i="7"/>
  <c r="B2" i="6"/>
  <c r="C14" i="5"/>
  <c r="C13" i="5"/>
  <c r="C7" i="5"/>
  <c r="C5" i="5"/>
  <c r="C2" i="5"/>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I18" i="4" s="1"/>
  <c r="AQ295" i="3"/>
  <c r="AP295" i="3"/>
  <c r="AO295" i="3"/>
  <c r="AN295" i="3"/>
  <c r="AM295" i="3"/>
  <c r="AL295" i="3"/>
  <c r="AK295" i="3"/>
  <c r="AJ295" i="3"/>
  <c r="AI295" i="3"/>
  <c r="AH295" i="3"/>
  <c r="AG295" i="3"/>
  <c r="AF295" i="3"/>
  <c r="AE295" i="3"/>
  <c r="AD295" i="3"/>
  <c r="AC295" i="3"/>
  <c r="AB295" i="3"/>
  <c r="AA295" i="3"/>
  <c r="Z295" i="3"/>
  <c r="Y295" i="3"/>
  <c r="X295" i="3"/>
  <c r="W295" i="3"/>
  <c r="P295" i="3"/>
  <c r="O295" i="3"/>
  <c r="N295" i="3"/>
  <c r="M295" i="3"/>
  <c r="L295" i="3"/>
  <c r="K295" i="3"/>
  <c r="J295" i="3"/>
  <c r="I295" i="3"/>
  <c r="H295" i="3"/>
  <c r="G295" i="3"/>
  <c r="F295" i="3"/>
  <c r="E295" i="3"/>
  <c r="D295" i="3"/>
  <c r="C295" i="3"/>
  <c r="B295" i="3"/>
  <c r="AQ294" i="3"/>
  <c r="AP294" i="3"/>
  <c r="AO294" i="3"/>
  <c r="AN294" i="3"/>
  <c r="AM294" i="3"/>
  <c r="AL294" i="3"/>
  <c r="AK294" i="3"/>
  <c r="AJ294" i="3"/>
  <c r="AI294" i="3"/>
  <c r="AH294" i="3"/>
  <c r="AG294" i="3"/>
  <c r="AF294" i="3"/>
  <c r="AE294" i="3"/>
  <c r="AD294" i="3"/>
  <c r="AC294" i="3"/>
  <c r="AB294" i="3"/>
  <c r="AA294" i="3"/>
  <c r="Z294" i="3"/>
  <c r="Y294" i="3"/>
  <c r="X294" i="3"/>
  <c r="W294" i="3"/>
  <c r="P294" i="3"/>
  <c r="O294" i="3"/>
  <c r="N294" i="3"/>
  <c r="M294" i="3"/>
  <c r="L294" i="3"/>
  <c r="K294" i="3"/>
  <c r="J294" i="3"/>
  <c r="I294" i="3"/>
  <c r="H294" i="3"/>
  <c r="G294" i="3"/>
  <c r="F294" i="3"/>
  <c r="E294" i="3"/>
  <c r="D294" i="3"/>
  <c r="C294" i="3"/>
  <c r="B294" i="3"/>
  <c r="AQ293" i="3"/>
  <c r="AP293" i="3"/>
  <c r="AO293" i="3"/>
  <c r="AN293" i="3"/>
  <c r="AM293" i="3"/>
  <c r="AL293" i="3"/>
  <c r="AK293" i="3"/>
  <c r="AJ293" i="3"/>
  <c r="AI293" i="3"/>
  <c r="AH293" i="3"/>
  <c r="AG293" i="3"/>
  <c r="AF293" i="3"/>
  <c r="AE293" i="3"/>
  <c r="AD293" i="3"/>
  <c r="AC293" i="3"/>
  <c r="AB293" i="3"/>
  <c r="AA293" i="3"/>
  <c r="Z293" i="3"/>
  <c r="Y293" i="3"/>
  <c r="X293" i="3"/>
  <c r="W293" i="3"/>
  <c r="P293" i="3"/>
  <c r="O293" i="3"/>
  <c r="N293" i="3"/>
  <c r="M293" i="3"/>
  <c r="L293" i="3"/>
  <c r="K293" i="3"/>
  <c r="J293" i="3"/>
  <c r="I293" i="3"/>
  <c r="H293" i="3"/>
  <c r="G293" i="3"/>
  <c r="F293" i="3"/>
  <c r="E293" i="3"/>
  <c r="D293" i="3"/>
  <c r="C293" i="3"/>
  <c r="B293" i="3"/>
  <c r="AQ292" i="3"/>
  <c r="AP292" i="3"/>
  <c r="AO292" i="3"/>
  <c r="AN292" i="3"/>
  <c r="AM292" i="3"/>
  <c r="AL292" i="3"/>
  <c r="AK292" i="3"/>
  <c r="AJ292" i="3"/>
  <c r="AI292" i="3"/>
  <c r="AH292" i="3"/>
  <c r="AG292" i="3"/>
  <c r="AF292" i="3"/>
  <c r="AE292" i="3"/>
  <c r="AD292" i="3"/>
  <c r="AC292" i="3"/>
  <c r="AB292" i="3"/>
  <c r="AA292" i="3"/>
  <c r="Z292" i="3"/>
  <c r="Y292" i="3"/>
  <c r="X292" i="3"/>
  <c r="W292" i="3"/>
  <c r="P292" i="3"/>
  <c r="O292" i="3"/>
  <c r="N292" i="3"/>
  <c r="M292" i="3"/>
  <c r="L292" i="3"/>
  <c r="K292" i="3"/>
  <c r="J292" i="3"/>
  <c r="I292" i="3"/>
  <c r="H292" i="3"/>
  <c r="G292" i="3"/>
  <c r="F292" i="3"/>
  <c r="E292" i="3"/>
  <c r="D292" i="3"/>
  <c r="C292" i="3"/>
  <c r="B292" i="3"/>
  <c r="AQ291" i="3"/>
  <c r="AP291" i="3"/>
  <c r="AO291" i="3"/>
  <c r="AN291" i="3"/>
  <c r="AM291" i="3"/>
  <c r="AL291" i="3"/>
  <c r="AK291" i="3"/>
  <c r="AJ291" i="3"/>
  <c r="AI291" i="3"/>
  <c r="AH291" i="3"/>
  <c r="AG291" i="3"/>
  <c r="AF291" i="3"/>
  <c r="AE291" i="3"/>
  <c r="AD291" i="3"/>
  <c r="AC291" i="3"/>
  <c r="AB291" i="3"/>
  <c r="AA291" i="3"/>
  <c r="Z291" i="3"/>
  <c r="Y291" i="3"/>
  <c r="X291" i="3"/>
  <c r="W291" i="3"/>
  <c r="P291" i="3"/>
  <c r="O291" i="3"/>
  <c r="N291" i="3"/>
  <c r="M291" i="3"/>
  <c r="L291" i="3"/>
  <c r="K291" i="3"/>
  <c r="J291" i="3"/>
  <c r="I291" i="3"/>
  <c r="H291" i="3"/>
  <c r="G291" i="3"/>
  <c r="F291" i="3"/>
  <c r="E291" i="3"/>
  <c r="D291" i="3"/>
  <c r="C291" i="3"/>
  <c r="B291" i="3"/>
  <c r="AQ290" i="3"/>
  <c r="AP290" i="3"/>
  <c r="AO290" i="3"/>
  <c r="AN290" i="3"/>
  <c r="AM290" i="3"/>
  <c r="AL290" i="3"/>
  <c r="AK290" i="3"/>
  <c r="AJ290" i="3"/>
  <c r="AI290" i="3"/>
  <c r="AH290" i="3"/>
  <c r="AG290" i="3"/>
  <c r="AF290" i="3"/>
  <c r="AE290" i="3"/>
  <c r="AD290" i="3"/>
  <c r="AC290" i="3"/>
  <c r="AB290" i="3"/>
  <c r="AA290" i="3"/>
  <c r="Z290" i="3"/>
  <c r="Y290" i="3"/>
  <c r="X290" i="3"/>
  <c r="W290" i="3"/>
  <c r="P290" i="3"/>
  <c r="O290" i="3"/>
  <c r="N290" i="3"/>
  <c r="M290" i="3"/>
  <c r="L290" i="3"/>
  <c r="K290" i="3"/>
  <c r="J290" i="3"/>
  <c r="I290" i="3"/>
  <c r="H290" i="3"/>
  <c r="G290" i="3"/>
  <c r="F290" i="3"/>
  <c r="E290" i="3"/>
  <c r="D290" i="3"/>
  <c r="C290" i="3"/>
  <c r="B290" i="3"/>
  <c r="AQ289" i="3"/>
  <c r="AP289" i="3"/>
  <c r="AO289" i="3"/>
  <c r="AN289" i="3"/>
  <c r="AM289" i="3"/>
  <c r="AL289" i="3"/>
  <c r="AK289" i="3"/>
  <c r="AJ289" i="3"/>
  <c r="AI289" i="3"/>
  <c r="AH289" i="3"/>
  <c r="AG289" i="3"/>
  <c r="AF289" i="3"/>
  <c r="AE289" i="3"/>
  <c r="AD289" i="3"/>
  <c r="AC289" i="3"/>
  <c r="AB289" i="3"/>
  <c r="AA289" i="3"/>
  <c r="Z289" i="3"/>
  <c r="Y289" i="3"/>
  <c r="X289" i="3"/>
  <c r="W289" i="3"/>
  <c r="P289" i="3"/>
  <c r="O289" i="3"/>
  <c r="N289" i="3"/>
  <c r="M289" i="3"/>
  <c r="L289" i="3"/>
  <c r="K289" i="3"/>
  <c r="J289" i="3"/>
  <c r="I289" i="3"/>
  <c r="H289" i="3"/>
  <c r="G289" i="3"/>
  <c r="F289" i="3"/>
  <c r="E289" i="3"/>
  <c r="D289" i="3"/>
  <c r="C289" i="3"/>
  <c r="B289" i="3"/>
  <c r="AQ288" i="3"/>
  <c r="AP288" i="3"/>
  <c r="AO288" i="3"/>
  <c r="AN288" i="3"/>
  <c r="AM288" i="3"/>
  <c r="AL288" i="3"/>
  <c r="AK288" i="3"/>
  <c r="AJ288" i="3"/>
  <c r="AI288" i="3"/>
  <c r="AH288" i="3"/>
  <c r="AG288" i="3"/>
  <c r="AF288" i="3"/>
  <c r="AE288" i="3"/>
  <c r="AD288" i="3"/>
  <c r="AC288" i="3"/>
  <c r="AB288" i="3"/>
  <c r="AA288" i="3"/>
  <c r="Z288" i="3"/>
  <c r="Y288" i="3"/>
  <c r="X288" i="3"/>
  <c r="W288" i="3"/>
  <c r="P288" i="3"/>
  <c r="O288" i="3"/>
  <c r="N288" i="3"/>
  <c r="M288" i="3"/>
  <c r="L288" i="3"/>
  <c r="K288" i="3"/>
  <c r="J288" i="3"/>
  <c r="I288" i="3"/>
  <c r="H288" i="3"/>
  <c r="G288" i="3"/>
  <c r="F288" i="3"/>
  <c r="E288" i="3"/>
  <c r="D288" i="3"/>
  <c r="C288" i="3"/>
  <c r="B288" i="3"/>
  <c r="AQ287" i="3"/>
  <c r="AP287" i="3"/>
  <c r="AO287" i="3"/>
  <c r="AN287" i="3"/>
  <c r="AM287" i="3"/>
  <c r="AL287" i="3"/>
  <c r="AK287" i="3"/>
  <c r="AJ287" i="3"/>
  <c r="AI287" i="3"/>
  <c r="AH287" i="3"/>
  <c r="AG287" i="3"/>
  <c r="AF287" i="3"/>
  <c r="AE287" i="3"/>
  <c r="AD287" i="3"/>
  <c r="AC287" i="3"/>
  <c r="AB287" i="3"/>
  <c r="AA287" i="3"/>
  <c r="Z287" i="3"/>
  <c r="Y287" i="3"/>
  <c r="X287" i="3"/>
  <c r="W287" i="3"/>
  <c r="P287" i="3"/>
  <c r="O287" i="3"/>
  <c r="N287" i="3"/>
  <c r="M287" i="3"/>
  <c r="L287" i="3"/>
  <c r="K287" i="3"/>
  <c r="J287" i="3"/>
  <c r="I287" i="3"/>
  <c r="H287" i="3"/>
  <c r="G287" i="3"/>
  <c r="F287" i="3"/>
  <c r="E287" i="3"/>
  <c r="D287" i="3"/>
  <c r="C287" i="3"/>
  <c r="B287" i="3"/>
  <c r="AQ286" i="3"/>
  <c r="AP286" i="3"/>
  <c r="AO286" i="3"/>
  <c r="AN286" i="3"/>
  <c r="AM286" i="3"/>
  <c r="AL286" i="3"/>
  <c r="AK286" i="3"/>
  <c r="AJ286" i="3"/>
  <c r="AI286" i="3"/>
  <c r="AH286" i="3"/>
  <c r="AG286" i="3"/>
  <c r="AF286" i="3"/>
  <c r="AE286" i="3"/>
  <c r="AD286" i="3"/>
  <c r="AC286" i="3"/>
  <c r="AB286" i="3"/>
  <c r="AA286" i="3"/>
  <c r="Z286" i="3"/>
  <c r="Y286" i="3"/>
  <c r="X286" i="3"/>
  <c r="W286" i="3"/>
  <c r="P286" i="3"/>
  <c r="O286" i="3"/>
  <c r="N286" i="3"/>
  <c r="M286" i="3"/>
  <c r="L286" i="3"/>
  <c r="K286" i="3"/>
  <c r="J286" i="3"/>
  <c r="I286" i="3"/>
  <c r="H286" i="3"/>
  <c r="G286" i="3"/>
  <c r="F286" i="3"/>
  <c r="E286" i="3"/>
  <c r="D286" i="3"/>
  <c r="C286" i="3"/>
  <c r="B286" i="3"/>
  <c r="AQ285" i="3"/>
  <c r="AP285" i="3"/>
  <c r="AO285" i="3"/>
  <c r="AN285" i="3"/>
  <c r="AM285" i="3"/>
  <c r="AL285" i="3"/>
  <c r="AK285" i="3"/>
  <c r="AJ285" i="3"/>
  <c r="AI285" i="3"/>
  <c r="AH285" i="3"/>
  <c r="AG285" i="3"/>
  <c r="AF285" i="3"/>
  <c r="AE285" i="3"/>
  <c r="AD285" i="3"/>
  <c r="AC285" i="3"/>
  <c r="AB285" i="3"/>
  <c r="AA285" i="3"/>
  <c r="Z285" i="3"/>
  <c r="Y285" i="3"/>
  <c r="X285" i="3"/>
  <c r="W285" i="3"/>
  <c r="P285" i="3"/>
  <c r="O285" i="3"/>
  <c r="N285" i="3"/>
  <c r="M285" i="3"/>
  <c r="L285" i="3"/>
  <c r="K285" i="3"/>
  <c r="J285" i="3"/>
  <c r="I285" i="3"/>
  <c r="H285" i="3"/>
  <c r="G285" i="3"/>
  <c r="F285" i="3"/>
  <c r="E285" i="3"/>
  <c r="D285" i="3"/>
  <c r="C285" i="3"/>
  <c r="B285" i="3"/>
  <c r="AQ284" i="3"/>
  <c r="AP284" i="3"/>
  <c r="AO284" i="3"/>
  <c r="AN284" i="3"/>
  <c r="AM284" i="3"/>
  <c r="AL284" i="3"/>
  <c r="AK284" i="3"/>
  <c r="AJ284" i="3"/>
  <c r="AI284" i="3"/>
  <c r="AH284" i="3"/>
  <c r="AG284" i="3"/>
  <c r="AF284" i="3"/>
  <c r="AE284" i="3"/>
  <c r="AD284" i="3"/>
  <c r="AC284" i="3"/>
  <c r="AB284" i="3"/>
  <c r="AA284" i="3"/>
  <c r="Z284" i="3"/>
  <c r="Y284" i="3"/>
  <c r="X284" i="3"/>
  <c r="W284" i="3"/>
  <c r="P284" i="3"/>
  <c r="O284" i="3"/>
  <c r="N284" i="3"/>
  <c r="M284" i="3"/>
  <c r="L284" i="3"/>
  <c r="K284" i="3"/>
  <c r="J284" i="3"/>
  <c r="I284" i="3"/>
  <c r="H284" i="3"/>
  <c r="G284" i="3"/>
  <c r="F284" i="3"/>
  <c r="E284" i="3"/>
  <c r="D284" i="3"/>
  <c r="C284" i="3"/>
  <c r="B284" i="3"/>
  <c r="AQ283" i="3"/>
  <c r="AP283" i="3"/>
  <c r="AO283" i="3"/>
  <c r="AN283" i="3"/>
  <c r="AM283" i="3"/>
  <c r="AL283" i="3"/>
  <c r="AK283" i="3"/>
  <c r="AJ283" i="3"/>
  <c r="AI283" i="3"/>
  <c r="AH283" i="3"/>
  <c r="AG283" i="3"/>
  <c r="AF283" i="3"/>
  <c r="AE283" i="3"/>
  <c r="AD283" i="3"/>
  <c r="AC283" i="3"/>
  <c r="AB283" i="3"/>
  <c r="AA283" i="3"/>
  <c r="Z283" i="3"/>
  <c r="Y283" i="3"/>
  <c r="X283" i="3"/>
  <c r="W283" i="3"/>
  <c r="P283" i="3"/>
  <c r="O283" i="3"/>
  <c r="N283" i="3"/>
  <c r="M283" i="3"/>
  <c r="L283" i="3"/>
  <c r="K283" i="3"/>
  <c r="J283" i="3"/>
  <c r="I283" i="3"/>
  <c r="H283" i="3"/>
  <c r="G283" i="3"/>
  <c r="F283" i="3"/>
  <c r="E283" i="3"/>
  <c r="D283" i="3"/>
  <c r="C283" i="3"/>
  <c r="B283" i="3"/>
  <c r="AQ282" i="3"/>
  <c r="AP282" i="3"/>
  <c r="AO282" i="3"/>
  <c r="AN282" i="3"/>
  <c r="AM282" i="3"/>
  <c r="AL282" i="3"/>
  <c r="AK282" i="3"/>
  <c r="AJ282" i="3"/>
  <c r="AI282" i="3"/>
  <c r="AH282" i="3"/>
  <c r="AG282" i="3"/>
  <c r="AF282" i="3"/>
  <c r="AE282" i="3"/>
  <c r="AD282" i="3"/>
  <c r="AC282" i="3"/>
  <c r="AB282" i="3"/>
  <c r="AA282" i="3"/>
  <c r="Z282" i="3"/>
  <c r="Y282" i="3"/>
  <c r="X282" i="3"/>
  <c r="W282" i="3"/>
  <c r="P282" i="3"/>
  <c r="O282" i="3"/>
  <c r="N282" i="3"/>
  <c r="M282" i="3"/>
  <c r="L282" i="3"/>
  <c r="K282" i="3"/>
  <c r="J282" i="3"/>
  <c r="I282" i="3"/>
  <c r="H282" i="3"/>
  <c r="G282" i="3"/>
  <c r="F282" i="3"/>
  <c r="E282" i="3"/>
  <c r="D282" i="3"/>
  <c r="C282" i="3"/>
  <c r="B282" i="3"/>
  <c r="AQ281" i="3"/>
  <c r="AP281" i="3"/>
  <c r="AO281" i="3"/>
  <c r="AN281" i="3"/>
  <c r="AM281" i="3"/>
  <c r="AL281" i="3"/>
  <c r="AK281" i="3"/>
  <c r="AJ281" i="3"/>
  <c r="AI281" i="3"/>
  <c r="AH281" i="3"/>
  <c r="AG281" i="3"/>
  <c r="AF281" i="3"/>
  <c r="AE281" i="3"/>
  <c r="AD281" i="3"/>
  <c r="AC281" i="3"/>
  <c r="AB281" i="3"/>
  <c r="AA281" i="3"/>
  <c r="Z281" i="3"/>
  <c r="Y281" i="3"/>
  <c r="X281" i="3"/>
  <c r="W281" i="3"/>
  <c r="P281" i="3"/>
  <c r="O281" i="3"/>
  <c r="N281" i="3"/>
  <c r="M281" i="3"/>
  <c r="L281" i="3"/>
  <c r="K281" i="3"/>
  <c r="J281" i="3"/>
  <c r="I281" i="3"/>
  <c r="H281" i="3"/>
  <c r="G281" i="3"/>
  <c r="F281" i="3"/>
  <c r="E281" i="3"/>
  <c r="D281" i="3"/>
  <c r="C281" i="3"/>
  <c r="B281" i="3"/>
  <c r="AQ280" i="3"/>
  <c r="AP280" i="3"/>
  <c r="AO280" i="3"/>
  <c r="AN280" i="3"/>
  <c r="AM280" i="3"/>
  <c r="AL280" i="3"/>
  <c r="AK280" i="3"/>
  <c r="AJ280" i="3"/>
  <c r="AI280" i="3"/>
  <c r="AH280" i="3"/>
  <c r="AG280" i="3"/>
  <c r="AF280" i="3"/>
  <c r="AE280" i="3"/>
  <c r="AD280" i="3"/>
  <c r="AC280" i="3"/>
  <c r="AB280" i="3"/>
  <c r="AA280" i="3"/>
  <c r="Z280" i="3"/>
  <c r="Y280" i="3"/>
  <c r="X280" i="3"/>
  <c r="W280" i="3"/>
  <c r="P280" i="3"/>
  <c r="O280" i="3"/>
  <c r="N280" i="3"/>
  <c r="M280" i="3"/>
  <c r="L280" i="3"/>
  <c r="K280" i="3"/>
  <c r="J280" i="3"/>
  <c r="I280" i="3"/>
  <c r="H280" i="3"/>
  <c r="G280" i="3"/>
  <c r="F280" i="3"/>
  <c r="E280" i="3"/>
  <c r="D280" i="3"/>
  <c r="C280" i="3"/>
  <c r="B280" i="3"/>
  <c r="AQ279" i="3"/>
  <c r="AP279" i="3"/>
  <c r="AO279" i="3"/>
  <c r="AN279" i="3"/>
  <c r="AM279" i="3"/>
  <c r="AL279" i="3"/>
  <c r="AK279" i="3"/>
  <c r="AJ279" i="3"/>
  <c r="AI279" i="3"/>
  <c r="AH279" i="3"/>
  <c r="AG279" i="3"/>
  <c r="AF279" i="3"/>
  <c r="AE279" i="3"/>
  <c r="AD279" i="3"/>
  <c r="AC279" i="3"/>
  <c r="AB279" i="3"/>
  <c r="AA279" i="3"/>
  <c r="Z279" i="3"/>
  <c r="Y279" i="3"/>
  <c r="X279" i="3"/>
  <c r="W279" i="3"/>
  <c r="P279" i="3"/>
  <c r="O279" i="3"/>
  <c r="N279" i="3"/>
  <c r="M279" i="3"/>
  <c r="L279" i="3"/>
  <c r="K279" i="3"/>
  <c r="J279" i="3"/>
  <c r="I279" i="3"/>
  <c r="H279" i="3"/>
  <c r="G279" i="3"/>
  <c r="F279" i="3"/>
  <c r="E279" i="3"/>
  <c r="D279" i="3"/>
  <c r="C279" i="3"/>
  <c r="B279" i="3"/>
  <c r="AQ278" i="3"/>
  <c r="AP278" i="3"/>
  <c r="AO278" i="3"/>
  <c r="AN278" i="3"/>
  <c r="AM278" i="3"/>
  <c r="AL278" i="3"/>
  <c r="AK278" i="3"/>
  <c r="AJ278" i="3"/>
  <c r="AI278" i="3"/>
  <c r="AH278" i="3"/>
  <c r="AG278" i="3"/>
  <c r="AF278" i="3"/>
  <c r="AE278" i="3"/>
  <c r="AD278" i="3"/>
  <c r="AC278" i="3"/>
  <c r="AB278" i="3"/>
  <c r="AA278" i="3"/>
  <c r="Z278" i="3"/>
  <c r="Y278" i="3"/>
  <c r="X278" i="3"/>
  <c r="W278" i="3"/>
  <c r="P278" i="3"/>
  <c r="O278" i="3"/>
  <c r="N278" i="3"/>
  <c r="M278" i="3"/>
  <c r="L278" i="3"/>
  <c r="K278" i="3"/>
  <c r="J278" i="3"/>
  <c r="I278" i="3"/>
  <c r="H278" i="3"/>
  <c r="G278" i="3"/>
  <c r="F278" i="3"/>
  <c r="E278" i="3"/>
  <c r="D278" i="3"/>
  <c r="C278" i="3"/>
  <c r="B278" i="3"/>
  <c r="AQ277" i="3"/>
  <c r="AP277" i="3"/>
  <c r="AO277" i="3"/>
  <c r="AN277" i="3"/>
  <c r="AM277" i="3"/>
  <c r="AL277" i="3"/>
  <c r="AK277" i="3"/>
  <c r="AJ277" i="3"/>
  <c r="AI277" i="3"/>
  <c r="AH277" i="3"/>
  <c r="AG277" i="3"/>
  <c r="AF277" i="3"/>
  <c r="AE277" i="3"/>
  <c r="AD277" i="3"/>
  <c r="AC277" i="3"/>
  <c r="AB277" i="3"/>
  <c r="AA277" i="3"/>
  <c r="Z277" i="3"/>
  <c r="Y277" i="3"/>
  <c r="X277" i="3"/>
  <c r="W277" i="3"/>
  <c r="P277" i="3"/>
  <c r="O277" i="3"/>
  <c r="N277" i="3"/>
  <c r="M277" i="3"/>
  <c r="L277" i="3"/>
  <c r="K277" i="3"/>
  <c r="J277" i="3"/>
  <c r="I277" i="3"/>
  <c r="H277" i="3"/>
  <c r="G277" i="3"/>
  <c r="F277" i="3"/>
  <c r="E277" i="3"/>
  <c r="D277" i="3"/>
  <c r="C277" i="3"/>
  <c r="B277" i="3"/>
  <c r="AQ276" i="3"/>
  <c r="AP276" i="3"/>
  <c r="AO276" i="3"/>
  <c r="AN276" i="3"/>
  <c r="AM276" i="3"/>
  <c r="AL276" i="3"/>
  <c r="AK276" i="3"/>
  <c r="AJ276" i="3"/>
  <c r="AI276" i="3"/>
  <c r="AH276" i="3"/>
  <c r="AG276" i="3"/>
  <c r="AF276" i="3"/>
  <c r="AE276" i="3"/>
  <c r="AD276" i="3"/>
  <c r="AC276" i="3"/>
  <c r="AB276" i="3"/>
  <c r="AA276" i="3"/>
  <c r="Z276" i="3"/>
  <c r="Y276" i="3"/>
  <c r="X276" i="3"/>
  <c r="W276" i="3"/>
  <c r="P276" i="3"/>
  <c r="O276" i="3"/>
  <c r="N276" i="3"/>
  <c r="M276" i="3"/>
  <c r="L276" i="3"/>
  <c r="K276" i="3"/>
  <c r="J276" i="3"/>
  <c r="I276" i="3"/>
  <c r="H276" i="3"/>
  <c r="G276" i="3"/>
  <c r="F276" i="3"/>
  <c r="E276" i="3"/>
  <c r="D276" i="3"/>
  <c r="C276" i="3"/>
  <c r="B276" i="3"/>
  <c r="AQ275" i="3"/>
  <c r="AP275" i="3"/>
  <c r="AO275" i="3"/>
  <c r="AN275" i="3"/>
  <c r="AM275" i="3"/>
  <c r="AL275" i="3"/>
  <c r="AK275" i="3"/>
  <c r="AJ275" i="3"/>
  <c r="AI275" i="3"/>
  <c r="AH275" i="3"/>
  <c r="AG275" i="3"/>
  <c r="AF275" i="3"/>
  <c r="AE275" i="3"/>
  <c r="AD275" i="3"/>
  <c r="AC275" i="3"/>
  <c r="AB275" i="3"/>
  <c r="AA275" i="3"/>
  <c r="Z275" i="3"/>
  <c r="Y275" i="3"/>
  <c r="X275" i="3"/>
  <c r="W275" i="3"/>
  <c r="P275" i="3"/>
  <c r="O275" i="3"/>
  <c r="N275" i="3"/>
  <c r="M275" i="3"/>
  <c r="L275" i="3"/>
  <c r="K275" i="3"/>
  <c r="J275" i="3"/>
  <c r="I275" i="3"/>
  <c r="H275" i="3"/>
  <c r="G275" i="3"/>
  <c r="F275" i="3"/>
  <c r="E275" i="3"/>
  <c r="D275" i="3"/>
  <c r="C275" i="3"/>
  <c r="B275" i="3"/>
  <c r="AQ274" i="3"/>
  <c r="AP274" i="3"/>
  <c r="AO274" i="3"/>
  <c r="AN274" i="3"/>
  <c r="AM274" i="3"/>
  <c r="AL274" i="3"/>
  <c r="AK274" i="3"/>
  <c r="AJ274" i="3"/>
  <c r="AI274" i="3"/>
  <c r="AH274" i="3"/>
  <c r="AG274" i="3"/>
  <c r="AF274" i="3"/>
  <c r="AE274" i="3"/>
  <c r="AD274" i="3"/>
  <c r="AC274" i="3"/>
  <c r="AB274" i="3"/>
  <c r="AA274" i="3"/>
  <c r="Z274" i="3"/>
  <c r="Y274" i="3"/>
  <c r="X274" i="3"/>
  <c r="W274" i="3"/>
  <c r="P274" i="3"/>
  <c r="O274" i="3"/>
  <c r="N274" i="3"/>
  <c r="M274" i="3"/>
  <c r="L274" i="3"/>
  <c r="K274" i="3"/>
  <c r="J274" i="3"/>
  <c r="I274" i="3"/>
  <c r="H274" i="3"/>
  <c r="G274" i="3"/>
  <c r="F274" i="3"/>
  <c r="E274" i="3"/>
  <c r="D274" i="3"/>
  <c r="C274" i="3"/>
  <c r="B274" i="3"/>
  <c r="AQ273" i="3"/>
  <c r="AP273" i="3"/>
  <c r="AO273" i="3"/>
  <c r="AN273" i="3"/>
  <c r="AM273" i="3"/>
  <c r="AL273" i="3"/>
  <c r="AK273" i="3"/>
  <c r="AJ273" i="3"/>
  <c r="AI273" i="3"/>
  <c r="AH273" i="3"/>
  <c r="AG273" i="3"/>
  <c r="AF273" i="3"/>
  <c r="AE273" i="3"/>
  <c r="AD273" i="3"/>
  <c r="AC273" i="3"/>
  <c r="AB273" i="3"/>
  <c r="AA273" i="3"/>
  <c r="Z273" i="3"/>
  <c r="Y273" i="3"/>
  <c r="X273" i="3"/>
  <c r="W273" i="3"/>
  <c r="P273" i="3"/>
  <c r="O273" i="3"/>
  <c r="N273" i="3"/>
  <c r="M273" i="3"/>
  <c r="L273" i="3"/>
  <c r="K273" i="3"/>
  <c r="J273" i="3"/>
  <c r="I273" i="3"/>
  <c r="H273" i="3"/>
  <c r="G273" i="3"/>
  <c r="F273" i="3"/>
  <c r="E273" i="3"/>
  <c r="D273" i="3"/>
  <c r="C273" i="3"/>
  <c r="B273" i="3"/>
  <c r="AQ272" i="3"/>
  <c r="AP272" i="3"/>
  <c r="AO272" i="3"/>
  <c r="AN272" i="3"/>
  <c r="AM272" i="3"/>
  <c r="AL272" i="3"/>
  <c r="AK272" i="3"/>
  <c r="AJ272" i="3"/>
  <c r="AI272" i="3"/>
  <c r="AH272" i="3"/>
  <c r="AG272" i="3"/>
  <c r="AF272" i="3"/>
  <c r="AE272" i="3"/>
  <c r="AD272" i="3"/>
  <c r="AC272" i="3"/>
  <c r="AB272" i="3"/>
  <c r="AA272" i="3"/>
  <c r="Z272" i="3"/>
  <c r="Y272" i="3"/>
  <c r="X272" i="3"/>
  <c r="W272" i="3"/>
  <c r="P272" i="3"/>
  <c r="O272" i="3"/>
  <c r="N272" i="3"/>
  <c r="M272" i="3"/>
  <c r="L272" i="3"/>
  <c r="K272" i="3"/>
  <c r="J272" i="3"/>
  <c r="I272" i="3"/>
  <c r="H272" i="3"/>
  <c r="G272" i="3"/>
  <c r="F272" i="3"/>
  <c r="E272" i="3"/>
  <c r="D272" i="3"/>
  <c r="C272" i="3"/>
  <c r="B272" i="3"/>
  <c r="AQ271" i="3"/>
  <c r="AP271" i="3"/>
  <c r="AO271" i="3"/>
  <c r="AN271" i="3"/>
  <c r="AM271" i="3"/>
  <c r="AL271" i="3"/>
  <c r="AK271" i="3"/>
  <c r="AJ271" i="3"/>
  <c r="AI271" i="3"/>
  <c r="AH271" i="3"/>
  <c r="AG271" i="3"/>
  <c r="AF271" i="3"/>
  <c r="AE271" i="3"/>
  <c r="AD271" i="3"/>
  <c r="AC271" i="3"/>
  <c r="AB271" i="3"/>
  <c r="AA271" i="3"/>
  <c r="Z271" i="3"/>
  <c r="Y271" i="3"/>
  <c r="X271" i="3"/>
  <c r="W271" i="3"/>
  <c r="P271" i="3"/>
  <c r="O271" i="3"/>
  <c r="N271" i="3"/>
  <c r="M271" i="3"/>
  <c r="L271" i="3"/>
  <c r="K271" i="3"/>
  <c r="J271" i="3"/>
  <c r="I271" i="3"/>
  <c r="H271" i="3"/>
  <c r="G271" i="3"/>
  <c r="F271" i="3"/>
  <c r="E271" i="3"/>
  <c r="D271" i="3"/>
  <c r="C271" i="3"/>
  <c r="B271" i="3"/>
  <c r="AQ270" i="3"/>
  <c r="AP270" i="3"/>
  <c r="AO270" i="3"/>
  <c r="AN270" i="3"/>
  <c r="AM270" i="3"/>
  <c r="AL270" i="3"/>
  <c r="AK270" i="3"/>
  <c r="AJ270" i="3"/>
  <c r="AI270" i="3"/>
  <c r="AH270" i="3"/>
  <c r="AG270" i="3"/>
  <c r="AF270" i="3"/>
  <c r="AE270" i="3"/>
  <c r="AD270" i="3"/>
  <c r="AC270" i="3"/>
  <c r="AB270" i="3"/>
  <c r="AA270" i="3"/>
  <c r="Z270" i="3"/>
  <c r="Y270" i="3"/>
  <c r="X270" i="3"/>
  <c r="W270" i="3"/>
  <c r="P270" i="3"/>
  <c r="O270" i="3"/>
  <c r="N270" i="3"/>
  <c r="M270" i="3"/>
  <c r="L270" i="3"/>
  <c r="K270" i="3"/>
  <c r="J270" i="3"/>
  <c r="I270" i="3"/>
  <c r="H270" i="3"/>
  <c r="G270" i="3"/>
  <c r="F270" i="3"/>
  <c r="E270" i="3"/>
  <c r="D270" i="3"/>
  <c r="C270" i="3"/>
  <c r="B270" i="3"/>
  <c r="AQ269" i="3"/>
  <c r="AP269" i="3"/>
  <c r="AO269" i="3"/>
  <c r="AN269" i="3"/>
  <c r="AM269" i="3"/>
  <c r="AL269" i="3"/>
  <c r="AK269" i="3"/>
  <c r="AJ269" i="3"/>
  <c r="AI269" i="3"/>
  <c r="AH269" i="3"/>
  <c r="AG269" i="3"/>
  <c r="AF269" i="3"/>
  <c r="AE269" i="3"/>
  <c r="AD269" i="3"/>
  <c r="AC269" i="3"/>
  <c r="AB269" i="3"/>
  <c r="AA269" i="3"/>
  <c r="Z269" i="3"/>
  <c r="Y269" i="3"/>
  <c r="X269" i="3"/>
  <c r="W269" i="3"/>
  <c r="P269" i="3"/>
  <c r="O269" i="3"/>
  <c r="N269" i="3"/>
  <c r="M269" i="3"/>
  <c r="L269" i="3"/>
  <c r="K269" i="3"/>
  <c r="J269" i="3"/>
  <c r="I269" i="3"/>
  <c r="H269" i="3"/>
  <c r="G269" i="3"/>
  <c r="F269" i="3"/>
  <c r="E269" i="3"/>
  <c r="D269" i="3"/>
  <c r="C269" i="3"/>
  <c r="B269" i="3"/>
  <c r="AQ268" i="3"/>
  <c r="AP268" i="3"/>
  <c r="AO268" i="3"/>
  <c r="AN268" i="3"/>
  <c r="AM268" i="3"/>
  <c r="AL268" i="3"/>
  <c r="AK268" i="3"/>
  <c r="AJ268" i="3"/>
  <c r="AI268" i="3"/>
  <c r="AH268" i="3"/>
  <c r="AG268" i="3"/>
  <c r="AF268" i="3"/>
  <c r="AE268" i="3"/>
  <c r="AD268" i="3"/>
  <c r="AC268" i="3"/>
  <c r="AB268" i="3"/>
  <c r="AA268" i="3"/>
  <c r="Z268" i="3"/>
  <c r="Y268" i="3"/>
  <c r="X268" i="3"/>
  <c r="W268" i="3"/>
  <c r="P268" i="3"/>
  <c r="O268" i="3"/>
  <c r="N268" i="3"/>
  <c r="M268" i="3"/>
  <c r="L268" i="3"/>
  <c r="K268" i="3"/>
  <c r="J268" i="3"/>
  <c r="I268" i="3"/>
  <c r="H268" i="3"/>
  <c r="G268" i="3"/>
  <c r="F268" i="3"/>
  <c r="E268" i="3"/>
  <c r="D268" i="3"/>
  <c r="C268" i="3"/>
  <c r="B268" i="3"/>
  <c r="AQ267" i="3"/>
  <c r="AP267" i="3"/>
  <c r="AO267" i="3"/>
  <c r="AN267" i="3"/>
  <c r="AM267" i="3"/>
  <c r="AL267" i="3"/>
  <c r="AK267" i="3"/>
  <c r="AJ267" i="3"/>
  <c r="AI267" i="3"/>
  <c r="AH267" i="3"/>
  <c r="AG267" i="3"/>
  <c r="AF267" i="3"/>
  <c r="AE267" i="3"/>
  <c r="AD267" i="3"/>
  <c r="AC267" i="3"/>
  <c r="AB267" i="3"/>
  <c r="AA267" i="3"/>
  <c r="Z267" i="3"/>
  <c r="Y267" i="3"/>
  <c r="X267" i="3"/>
  <c r="W267" i="3"/>
  <c r="P267" i="3"/>
  <c r="O267" i="3"/>
  <c r="N267" i="3"/>
  <c r="M267" i="3"/>
  <c r="L267" i="3"/>
  <c r="K267" i="3"/>
  <c r="J267" i="3"/>
  <c r="I267" i="3"/>
  <c r="H267" i="3"/>
  <c r="G267" i="3"/>
  <c r="F267" i="3"/>
  <c r="E267" i="3"/>
  <c r="D267" i="3"/>
  <c r="C267" i="3"/>
  <c r="B267" i="3"/>
  <c r="AQ266" i="3"/>
  <c r="AP266" i="3"/>
  <c r="AO266" i="3"/>
  <c r="AN266" i="3"/>
  <c r="AM266" i="3"/>
  <c r="AL266" i="3"/>
  <c r="AK266" i="3"/>
  <c r="AJ266" i="3"/>
  <c r="AI266" i="3"/>
  <c r="AH266" i="3"/>
  <c r="AG266" i="3"/>
  <c r="AF266" i="3"/>
  <c r="AE266" i="3"/>
  <c r="AD266" i="3"/>
  <c r="AC266" i="3"/>
  <c r="AB266" i="3"/>
  <c r="AA266" i="3"/>
  <c r="Z266" i="3"/>
  <c r="Y266" i="3"/>
  <c r="X266" i="3"/>
  <c r="W266" i="3"/>
  <c r="P266" i="3"/>
  <c r="O266" i="3"/>
  <c r="N266" i="3"/>
  <c r="M266" i="3"/>
  <c r="L266" i="3"/>
  <c r="K266" i="3"/>
  <c r="J266" i="3"/>
  <c r="I266" i="3"/>
  <c r="H266" i="3"/>
  <c r="G266" i="3"/>
  <c r="F266" i="3"/>
  <c r="E266" i="3"/>
  <c r="D266" i="3"/>
  <c r="C266" i="3"/>
  <c r="B266" i="3"/>
  <c r="AQ265" i="3"/>
  <c r="AP265" i="3"/>
  <c r="AO265" i="3"/>
  <c r="AN265" i="3"/>
  <c r="AM265" i="3"/>
  <c r="AL265" i="3"/>
  <c r="AK265" i="3"/>
  <c r="AJ265" i="3"/>
  <c r="AI265" i="3"/>
  <c r="AH265" i="3"/>
  <c r="AG265" i="3"/>
  <c r="AF265" i="3"/>
  <c r="AE265" i="3"/>
  <c r="AD265" i="3"/>
  <c r="AC265" i="3"/>
  <c r="AB265" i="3"/>
  <c r="AA265" i="3"/>
  <c r="Z265" i="3"/>
  <c r="Y265" i="3"/>
  <c r="X265" i="3"/>
  <c r="W265" i="3"/>
  <c r="P265" i="3"/>
  <c r="O265" i="3"/>
  <c r="N265" i="3"/>
  <c r="M265" i="3"/>
  <c r="L265" i="3"/>
  <c r="K265" i="3"/>
  <c r="J265" i="3"/>
  <c r="I265" i="3"/>
  <c r="H265" i="3"/>
  <c r="G265" i="3"/>
  <c r="F265" i="3"/>
  <c r="E265" i="3"/>
  <c r="D265" i="3"/>
  <c r="C265" i="3"/>
  <c r="B265" i="3"/>
  <c r="AQ264" i="3"/>
  <c r="AP264" i="3"/>
  <c r="AO264" i="3"/>
  <c r="AN264" i="3"/>
  <c r="AM264" i="3"/>
  <c r="AL264" i="3"/>
  <c r="AK264" i="3"/>
  <c r="AJ264" i="3"/>
  <c r="AI264" i="3"/>
  <c r="AH264" i="3"/>
  <c r="AG264" i="3"/>
  <c r="AF264" i="3"/>
  <c r="AE264" i="3"/>
  <c r="AD264" i="3"/>
  <c r="AC264" i="3"/>
  <c r="AB264" i="3"/>
  <c r="AA264" i="3"/>
  <c r="Z264" i="3"/>
  <c r="Y264" i="3"/>
  <c r="X264" i="3"/>
  <c r="W264" i="3"/>
  <c r="P264" i="3"/>
  <c r="O264" i="3"/>
  <c r="N264" i="3"/>
  <c r="M264" i="3"/>
  <c r="L264" i="3"/>
  <c r="K264" i="3"/>
  <c r="J264" i="3"/>
  <c r="I264" i="3"/>
  <c r="H264" i="3"/>
  <c r="G264" i="3"/>
  <c r="F264" i="3"/>
  <c r="E264" i="3"/>
  <c r="D264" i="3"/>
  <c r="C264" i="3"/>
  <c r="B264" i="3"/>
  <c r="AQ263" i="3"/>
  <c r="AP263" i="3"/>
  <c r="AO263" i="3"/>
  <c r="AN263" i="3"/>
  <c r="AM263" i="3"/>
  <c r="AL263" i="3"/>
  <c r="AK263" i="3"/>
  <c r="AJ263" i="3"/>
  <c r="AI263" i="3"/>
  <c r="AH263" i="3"/>
  <c r="AG263" i="3"/>
  <c r="AF263" i="3"/>
  <c r="AE263" i="3"/>
  <c r="AD263" i="3"/>
  <c r="AC263" i="3"/>
  <c r="AB263" i="3"/>
  <c r="AA263" i="3"/>
  <c r="Z263" i="3"/>
  <c r="Y263" i="3"/>
  <c r="X263" i="3"/>
  <c r="W263" i="3"/>
  <c r="P263" i="3"/>
  <c r="O263" i="3"/>
  <c r="N263" i="3"/>
  <c r="M263" i="3"/>
  <c r="L263" i="3"/>
  <c r="K263" i="3"/>
  <c r="J263" i="3"/>
  <c r="I263" i="3"/>
  <c r="H263" i="3"/>
  <c r="G263" i="3"/>
  <c r="F263" i="3"/>
  <c r="E263" i="3"/>
  <c r="D263" i="3"/>
  <c r="C263" i="3"/>
  <c r="B263" i="3"/>
  <c r="AQ262" i="3"/>
  <c r="AP262" i="3"/>
  <c r="AO262" i="3"/>
  <c r="AN262" i="3"/>
  <c r="AM262" i="3"/>
  <c r="AL262" i="3"/>
  <c r="AK262" i="3"/>
  <c r="AJ262" i="3"/>
  <c r="AI262" i="3"/>
  <c r="AH262" i="3"/>
  <c r="AG262" i="3"/>
  <c r="AF262" i="3"/>
  <c r="AE262" i="3"/>
  <c r="AD262" i="3"/>
  <c r="AC262" i="3"/>
  <c r="AB262" i="3"/>
  <c r="AA262" i="3"/>
  <c r="Z262" i="3"/>
  <c r="Y262" i="3"/>
  <c r="X262" i="3"/>
  <c r="W262" i="3"/>
  <c r="P262" i="3"/>
  <c r="O262" i="3"/>
  <c r="N262" i="3"/>
  <c r="M262" i="3"/>
  <c r="L262" i="3"/>
  <c r="K262" i="3"/>
  <c r="J262" i="3"/>
  <c r="I262" i="3"/>
  <c r="H262" i="3"/>
  <c r="G262" i="3"/>
  <c r="F262" i="3"/>
  <c r="E262" i="3"/>
  <c r="D262" i="3"/>
  <c r="C262" i="3"/>
  <c r="B262" i="3"/>
  <c r="AQ261" i="3"/>
  <c r="AP261" i="3"/>
  <c r="AO261" i="3"/>
  <c r="AN261" i="3"/>
  <c r="AM261" i="3"/>
  <c r="AL261" i="3"/>
  <c r="AK261" i="3"/>
  <c r="AJ261" i="3"/>
  <c r="AI261" i="3"/>
  <c r="AH261" i="3"/>
  <c r="AG261" i="3"/>
  <c r="AF261" i="3"/>
  <c r="AE261" i="3"/>
  <c r="AD261" i="3"/>
  <c r="AC261" i="3"/>
  <c r="AB261" i="3"/>
  <c r="AA261" i="3"/>
  <c r="Z261" i="3"/>
  <c r="Y261" i="3"/>
  <c r="X261" i="3"/>
  <c r="W261" i="3"/>
  <c r="P261" i="3"/>
  <c r="O261" i="3"/>
  <c r="N261" i="3"/>
  <c r="M261" i="3"/>
  <c r="L261" i="3"/>
  <c r="K261" i="3"/>
  <c r="J261" i="3"/>
  <c r="I261" i="3"/>
  <c r="H261" i="3"/>
  <c r="G261" i="3"/>
  <c r="F261" i="3"/>
  <c r="E261" i="3"/>
  <c r="D261" i="3"/>
  <c r="C261" i="3"/>
  <c r="B261" i="3"/>
  <c r="AQ260" i="3"/>
  <c r="AP260" i="3"/>
  <c r="AO260" i="3"/>
  <c r="AN260" i="3"/>
  <c r="AM260" i="3"/>
  <c r="AL260" i="3"/>
  <c r="AK260" i="3"/>
  <c r="AJ260" i="3"/>
  <c r="AI260" i="3"/>
  <c r="AH260" i="3"/>
  <c r="AG260" i="3"/>
  <c r="AF260" i="3"/>
  <c r="AE260" i="3"/>
  <c r="AD260" i="3"/>
  <c r="AC260" i="3"/>
  <c r="AB260" i="3"/>
  <c r="AA260" i="3"/>
  <c r="Z260" i="3"/>
  <c r="Y260" i="3"/>
  <c r="X260" i="3"/>
  <c r="W260" i="3"/>
  <c r="P260" i="3"/>
  <c r="O260" i="3"/>
  <c r="N260" i="3"/>
  <c r="M260" i="3"/>
  <c r="L260" i="3"/>
  <c r="K260" i="3"/>
  <c r="J260" i="3"/>
  <c r="I260" i="3"/>
  <c r="H260" i="3"/>
  <c r="G260" i="3"/>
  <c r="F260" i="3"/>
  <c r="E260" i="3"/>
  <c r="D260" i="3"/>
  <c r="C260" i="3"/>
  <c r="B260" i="3"/>
  <c r="AQ259" i="3"/>
  <c r="AP259" i="3"/>
  <c r="AO259" i="3"/>
  <c r="AN259" i="3"/>
  <c r="AM259" i="3"/>
  <c r="AL259" i="3"/>
  <c r="AK259" i="3"/>
  <c r="AJ259" i="3"/>
  <c r="AI259" i="3"/>
  <c r="AH259" i="3"/>
  <c r="AG259" i="3"/>
  <c r="AF259" i="3"/>
  <c r="AE259" i="3"/>
  <c r="AD259" i="3"/>
  <c r="AC259" i="3"/>
  <c r="AB259" i="3"/>
  <c r="AA259" i="3"/>
  <c r="Z259" i="3"/>
  <c r="Y259" i="3"/>
  <c r="X259" i="3"/>
  <c r="W259" i="3"/>
  <c r="P259" i="3"/>
  <c r="O259" i="3"/>
  <c r="N259" i="3"/>
  <c r="M259" i="3"/>
  <c r="L259" i="3"/>
  <c r="K259" i="3"/>
  <c r="J259" i="3"/>
  <c r="I259" i="3"/>
  <c r="H259" i="3"/>
  <c r="G259" i="3"/>
  <c r="F259" i="3"/>
  <c r="E259" i="3"/>
  <c r="D259" i="3"/>
  <c r="C259" i="3"/>
  <c r="B259" i="3"/>
  <c r="AQ258" i="3"/>
  <c r="AP258" i="3"/>
  <c r="AO258" i="3"/>
  <c r="AN258" i="3"/>
  <c r="AM258" i="3"/>
  <c r="AL258" i="3"/>
  <c r="AK258" i="3"/>
  <c r="AJ258" i="3"/>
  <c r="AI258" i="3"/>
  <c r="AH258" i="3"/>
  <c r="AG258" i="3"/>
  <c r="AF258" i="3"/>
  <c r="AE258" i="3"/>
  <c r="AD258" i="3"/>
  <c r="AC258" i="3"/>
  <c r="AB258" i="3"/>
  <c r="AA258" i="3"/>
  <c r="Z258" i="3"/>
  <c r="Y258" i="3"/>
  <c r="X258" i="3"/>
  <c r="W258" i="3"/>
  <c r="P258" i="3"/>
  <c r="O258" i="3"/>
  <c r="N258" i="3"/>
  <c r="M258" i="3"/>
  <c r="L258" i="3"/>
  <c r="K258" i="3"/>
  <c r="J258" i="3"/>
  <c r="I258" i="3"/>
  <c r="H258" i="3"/>
  <c r="G258" i="3"/>
  <c r="F258" i="3"/>
  <c r="E258" i="3"/>
  <c r="D258" i="3"/>
  <c r="C258" i="3"/>
  <c r="B258" i="3"/>
  <c r="AQ257" i="3"/>
  <c r="AP257" i="3"/>
  <c r="AO257" i="3"/>
  <c r="AN257" i="3"/>
  <c r="AM257" i="3"/>
  <c r="AL257" i="3"/>
  <c r="AK257" i="3"/>
  <c r="AJ257" i="3"/>
  <c r="AI257" i="3"/>
  <c r="AH257" i="3"/>
  <c r="AG257" i="3"/>
  <c r="AF257" i="3"/>
  <c r="AE257" i="3"/>
  <c r="AD257" i="3"/>
  <c r="AC257" i="3"/>
  <c r="AB257" i="3"/>
  <c r="AA257" i="3"/>
  <c r="Z257" i="3"/>
  <c r="Y257" i="3"/>
  <c r="X257" i="3"/>
  <c r="W257" i="3"/>
  <c r="P257" i="3"/>
  <c r="O257" i="3"/>
  <c r="N257" i="3"/>
  <c r="M257" i="3"/>
  <c r="L257" i="3"/>
  <c r="K257" i="3"/>
  <c r="J257" i="3"/>
  <c r="I257" i="3"/>
  <c r="H257" i="3"/>
  <c r="G257" i="3"/>
  <c r="F257" i="3"/>
  <c r="E257" i="3"/>
  <c r="D257" i="3"/>
  <c r="C257" i="3"/>
  <c r="B257" i="3"/>
  <c r="AQ256" i="3"/>
  <c r="AP256" i="3"/>
  <c r="AO256" i="3"/>
  <c r="AN256" i="3"/>
  <c r="AM256" i="3"/>
  <c r="AL256" i="3"/>
  <c r="AK256" i="3"/>
  <c r="AJ256" i="3"/>
  <c r="AI256" i="3"/>
  <c r="AH256" i="3"/>
  <c r="AG256" i="3"/>
  <c r="AF256" i="3"/>
  <c r="AE256" i="3"/>
  <c r="AD256" i="3"/>
  <c r="AC256" i="3"/>
  <c r="AB256" i="3"/>
  <c r="AA256" i="3"/>
  <c r="Z256" i="3"/>
  <c r="Y256" i="3"/>
  <c r="X256" i="3"/>
  <c r="W256" i="3"/>
  <c r="P256" i="3"/>
  <c r="O256" i="3"/>
  <c r="N256" i="3"/>
  <c r="M256" i="3"/>
  <c r="L256" i="3"/>
  <c r="K256" i="3"/>
  <c r="J256" i="3"/>
  <c r="I256" i="3"/>
  <c r="H256" i="3"/>
  <c r="G256" i="3"/>
  <c r="F256" i="3"/>
  <c r="E256" i="3"/>
  <c r="D256" i="3"/>
  <c r="C256" i="3"/>
  <c r="B256" i="3"/>
  <c r="AQ255" i="3"/>
  <c r="AP255" i="3"/>
  <c r="AO255" i="3"/>
  <c r="AN255" i="3"/>
  <c r="AM255" i="3"/>
  <c r="AL255" i="3"/>
  <c r="AK255" i="3"/>
  <c r="AJ255" i="3"/>
  <c r="AI255" i="3"/>
  <c r="AH255" i="3"/>
  <c r="AG255" i="3"/>
  <c r="AF255" i="3"/>
  <c r="AE255" i="3"/>
  <c r="AD255" i="3"/>
  <c r="AC255" i="3"/>
  <c r="AB255" i="3"/>
  <c r="AA255" i="3"/>
  <c r="Z255" i="3"/>
  <c r="Y255" i="3"/>
  <c r="X255" i="3"/>
  <c r="W255" i="3"/>
  <c r="P255" i="3"/>
  <c r="O255" i="3"/>
  <c r="N255" i="3"/>
  <c r="M255" i="3"/>
  <c r="L255" i="3"/>
  <c r="K255" i="3"/>
  <c r="J255" i="3"/>
  <c r="I255" i="3"/>
  <c r="H255" i="3"/>
  <c r="G255" i="3"/>
  <c r="F255" i="3"/>
  <c r="E255" i="3"/>
  <c r="D255" i="3"/>
  <c r="C255" i="3"/>
  <c r="B255" i="3"/>
  <c r="AQ254" i="3"/>
  <c r="AP254" i="3"/>
  <c r="AO254" i="3"/>
  <c r="AN254" i="3"/>
  <c r="AM254" i="3"/>
  <c r="AL254" i="3"/>
  <c r="AK254" i="3"/>
  <c r="AJ254" i="3"/>
  <c r="AI254" i="3"/>
  <c r="AH254" i="3"/>
  <c r="AG254" i="3"/>
  <c r="AF254" i="3"/>
  <c r="AE254" i="3"/>
  <c r="AD254" i="3"/>
  <c r="AC254" i="3"/>
  <c r="AB254" i="3"/>
  <c r="AA254" i="3"/>
  <c r="Z254" i="3"/>
  <c r="Y254" i="3"/>
  <c r="X254" i="3"/>
  <c r="W254" i="3"/>
  <c r="P254" i="3"/>
  <c r="O254" i="3"/>
  <c r="N254" i="3"/>
  <c r="M254" i="3"/>
  <c r="L254" i="3"/>
  <c r="K254" i="3"/>
  <c r="J254" i="3"/>
  <c r="I254" i="3"/>
  <c r="H254" i="3"/>
  <c r="G254" i="3"/>
  <c r="F254" i="3"/>
  <c r="E254" i="3"/>
  <c r="D254" i="3"/>
  <c r="C254" i="3"/>
  <c r="B254" i="3"/>
  <c r="AQ253" i="3"/>
  <c r="AP253" i="3"/>
  <c r="AO253" i="3"/>
  <c r="AN253" i="3"/>
  <c r="AM253" i="3"/>
  <c r="AL253" i="3"/>
  <c r="AK253" i="3"/>
  <c r="AJ253" i="3"/>
  <c r="AI253" i="3"/>
  <c r="AH253" i="3"/>
  <c r="AG253" i="3"/>
  <c r="AF253" i="3"/>
  <c r="AE253" i="3"/>
  <c r="AD253" i="3"/>
  <c r="AC253" i="3"/>
  <c r="AB253" i="3"/>
  <c r="AA253" i="3"/>
  <c r="Z253" i="3"/>
  <c r="Y253" i="3"/>
  <c r="X253" i="3"/>
  <c r="W253" i="3"/>
  <c r="P253" i="3"/>
  <c r="O253" i="3"/>
  <c r="N253" i="3"/>
  <c r="M253" i="3"/>
  <c r="L253" i="3"/>
  <c r="K253" i="3"/>
  <c r="J253" i="3"/>
  <c r="I253" i="3"/>
  <c r="H253" i="3"/>
  <c r="G253" i="3"/>
  <c r="F253" i="3"/>
  <c r="E253" i="3"/>
  <c r="D253" i="3"/>
  <c r="C253" i="3"/>
  <c r="B253" i="3"/>
  <c r="AQ252" i="3"/>
  <c r="AP252" i="3"/>
  <c r="AO252" i="3"/>
  <c r="AN252" i="3"/>
  <c r="AM252" i="3"/>
  <c r="AL252" i="3"/>
  <c r="AK252" i="3"/>
  <c r="AJ252" i="3"/>
  <c r="AI252" i="3"/>
  <c r="AH252" i="3"/>
  <c r="AG252" i="3"/>
  <c r="AF252" i="3"/>
  <c r="AE252" i="3"/>
  <c r="AD252" i="3"/>
  <c r="AC252" i="3"/>
  <c r="AB252" i="3"/>
  <c r="AA252" i="3"/>
  <c r="Z252" i="3"/>
  <c r="Y252" i="3"/>
  <c r="X252" i="3"/>
  <c r="W252" i="3"/>
  <c r="P252" i="3"/>
  <c r="O252" i="3"/>
  <c r="N252" i="3"/>
  <c r="M252" i="3"/>
  <c r="L252" i="3"/>
  <c r="K252" i="3"/>
  <c r="J252" i="3"/>
  <c r="I252" i="3"/>
  <c r="H252" i="3"/>
  <c r="G252" i="3"/>
  <c r="F252" i="3"/>
  <c r="E252" i="3"/>
  <c r="D252" i="3"/>
  <c r="C252" i="3"/>
  <c r="B252" i="3"/>
  <c r="AQ251" i="3"/>
  <c r="AP251" i="3"/>
  <c r="AO251" i="3"/>
  <c r="AN251" i="3"/>
  <c r="AM251" i="3"/>
  <c r="AL251" i="3"/>
  <c r="AK251" i="3"/>
  <c r="AJ251" i="3"/>
  <c r="AI251" i="3"/>
  <c r="AH251" i="3"/>
  <c r="AG251" i="3"/>
  <c r="AF251" i="3"/>
  <c r="AE251" i="3"/>
  <c r="AD251" i="3"/>
  <c r="AC251" i="3"/>
  <c r="AB251" i="3"/>
  <c r="AA251" i="3"/>
  <c r="Z251" i="3"/>
  <c r="Y251" i="3"/>
  <c r="X251" i="3"/>
  <c r="W251" i="3"/>
  <c r="P251" i="3"/>
  <c r="O251" i="3"/>
  <c r="N251" i="3"/>
  <c r="M251" i="3"/>
  <c r="L251" i="3"/>
  <c r="K251" i="3"/>
  <c r="J251" i="3"/>
  <c r="I251" i="3"/>
  <c r="H251" i="3"/>
  <c r="G251" i="3"/>
  <c r="F251" i="3"/>
  <c r="E251" i="3"/>
  <c r="D251" i="3"/>
  <c r="C251" i="3"/>
  <c r="B251" i="3"/>
  <c r="AQ250" i="3"/>
  <c r="AP250" i="3"/>
  <c r="AO250" i="3"/>
  <c r="AN250" i="3"/>
  <c r="AM250" i="3"/>
  <c r="AL250" i="3"/>
  <c r="AK250" i="3"/>
  <c r="AJ250" i="3"/>
  <c r="AI250" i="3"/>
  <c r="AH250" i="3"/>
  <c r="AG250" i="3"/>
  <c r="AF250" i="3"/>
  <c r="AE250" i="3"/>
  <c r="AD250" i="3"/>
  <c r="AC250" i="3"/>
  <c r="AB250" i="3"/>
  <c r="AA250" i="3"/>
  <c r="Z250" i="3"/>
  <c r="Y250" i="3"/>
  <c r="X250" i="3"/>
  <c r="W250" i="3"/>
  <c r="P250" i="3"/>
  <c r="O250" i="3"/>
  <c r="N250" i="3"/>
  <c r="M250" i="3"/>
  <c r="L250" i="3"/>
  <c r="K250" i="3"/>
  <c r="J250" i="3"/>
  <c r="I250" i="3"/>
  <c r="H250" i="3"/>
  <c r="G250" i="3"/>
  <c r="F250" i="3"/>
  <c r="E250" i="3"/>
  <c r="D250" i="3"/>
  <c r="C250" i="3"/>
  <c r="B250" i="3"/>
  <c r="AQ249" i="3"/>
  <c r="AP249" i="3"/>
  <c r="AO249" i="3"/>
  <c r="AN249" i="3"/>
  <c r="AM249" i="3"/>
  <c r="AL249" i="3"/>
  <c r="AK249" i="3"/>
  <c r="AJ249" i="3"/>
  <c r="AI249" i="3"/>
  <c r="AH249" i="3"/>
  <c r="AG249" i="3"/>
  <c r="AF249" i="3"/>
  <c r="AE249" i="3"/>
  <c r="AD249" i="3"/>
  <c r="AC249" i="3"/>
  <c r="AB249" i="3"/>
  <c r="AA249" i="3"/>
  <c r="Z249" i="3"/>
  <c r="Y249" i="3"/>
  <c r="X249" i="3"/>
  <c r="W249" i="3"/>
  <c r="P249" i="3"/>
  <c r="O249" i="3"/>
  <c r="N249" i="3"/>
  <c r="M249" i="3"/>
  <c r="L249" i="3"/>
  <c r="K249" i="3"/>
  <c r="J249" i="3"/>
  <c r="I249" i="3"/>
  <c r="H249" i="3"/>
  <c r="G249" i="3"/>
  <c r="F249" i="3"/>
  <c r="E249" i="3"/>
  <c r="D249" i="3"/>
  <c r="C249" i="3"/>
  <c r="B249" i="3"/>
  <c r="AQ248" i="3"/>
  <c r="AP248" i="3"/>
  <c r="AO248" i="3"/>
  <c r="AN248" i="3"/>
  <c r="AM248" i="3"/>
  <c r="AL248" i="3"/>
  <c r="AK248" i="3"/>
  <c r="AJ248" i="3"/>
  <c r="AI248" i="3"/>
  <c r="AH248" i="3"/>
  <c r="AG248" i="3"/>
  <c r="AF248" i="3"/>
  <c r="AE248" i="3"/>
  <c r="AD248" i="3"/>
  <c r="AC248" i="3"/>
  <c r="AB248" i="3"/>
  <c r="AA248" i="3"/>
  <c r="Z248" i="3"/>
  <c r="Y248" i="3"/>
  <c r="X248" i="3"/>
  <c r="W248" i="3"/>
  <c r="P248" i="3"/>
  <c r="O248" i="3"/>
  <c r="N248" i="3"/>
  <c r="M248" i="3"/>
  <c r="L248" i="3"/>
  <c r="K248" i="3"/>
  <c r="J248" i="3"/>
  <c r="I248" i="3"/>
  <c r="H248" i="3"/>
  <c r="G248" i="3"/>
  <c r="F248" i="3"/>
  <c r="E248" i="3"/>
  <c r="D248" i="3"/>
  <c r="C248" i="3"/>
  <c r="B248" i="3"/>
  <c r="AQ247" i="3"/>
  <c r="AP247" i="3"/>
  <c r="AO247" i="3"/>
  <c r="AN247" i="3"/>
  <c r="AM247" i="3"/>
  <c r="AL247" i="3"/>
  <c r="AK247" i="3"/>
  <c r="AJ247" i="3"/>
  <c r="AI247" i="3"/>
  <c r="AH247" i="3"/>
  <c r="AG247" i="3"/>
  <c r="AF247" i="3"/>
  <c r="AE247" i="3"/>
  <c r="AD247" i="3"/>
  <c r="AC247" i="3"/>
  <c r="AB247" i="3"/>
  <c r="AA247" i="3"/>
  <c r="Z247" i="3"/>
  <c r="Y247" i="3"/>
  <c r="X247" i="3"/>
  <c r="W247" i="3"/>
  <c r="P247" i="3"/>
  <c r="O247" i="3"/>
  <c r="N247" i="3"/>
  <c r="M247" i="3"/>
  <c r="L247" i="3"/>
  <c r="K247" i="3"/>
  <c r="J247" i="3"/>
  <c r="I247" i="3"/>
  <c r="H247" i="3"/>
  <c r="G247" i="3"/>
  <c r="F247" i="3"/>
  <c r="E247" i="3"/>
  <c r="D247" i="3"/>
  <c r="C247" i="3"/>
  <c r="B247" i="3"/>
  <c r="AQ246" i="3"/>
  <c r="AP246" i="3"/>
  <c r="AO246" i="3"/>
  <c r="AN246" i="3"/>
  <c r="AM246" i="3"/>
  <c r="AL246" i="3"/>
  <c r="AK246" i="3"/>
  <c r="AJ246" i="3"/>
  <c r="AI246" i="3"/>
  <c r="AH246" i="3"/>
  <c r="AG246" i="3"/>
  <c r="AF246" i="3"/>
  <c r="AE246" i="3"/>
  <c r="AD246" i="3"/>
  <c r="AC246" i="3"/>
  <c r="AB246" i="3"/>
  <c r="AA246" i="3"/>
  <c r="Z246" i="3"/>
  <c r="Y246" i="3"/>
  <c r="X246" i="3"/>
  <c r="W246" i="3"/>
  <c r="P246" i="3"/>
  <c r="O246" i="3"/>
  <c r="N246" i="3"/>
  <c r="M246" i="3"/>
  <c r="L246" i="3"/>
  <c r="K246" i="3"/>
  <c r="J246" i="3"/>
  <c r="I246" i="3"/>
  <c r="H246" i="3"/>
  <c r="G246" i="3"/>
  <c r="F246" i="3"/>
  <c r="E246" i="3"/>
  <c r="D246" i="3"/>
  <c r="C246" i="3"/>
  <c r="B246" i="3"/>
  <c r="AQ245" i="3"/>
  <c r="AP245" i="3"/>
  <c r="AO245" i="3"/>
  <c r="AN245" i="3"/>
  <c r="AM245" i="3"/>
  <c r="AL245" i="3"/>
  <c r="AK245" i="3"/>
  <c r="AJ245" i="3"/>
  <c r="AI245" i="3"/>
  <c r="AH245" i="3"/>
  <c r="AG245" i="3"/>
  <c r="AF245" i="3"/>
  <c r="AE245" i="3"/>
  <c r="AD245" i="3"/>
  <c r="AC245" i="3"/>
  <c r="AB245" i="3"/>
  <c r="AA245" i="3"/>
  <c r="Z245" i="3"/>
  <c r="Y245" i="3"/>
  <c r="X245" i="3"/>
  <c r="W245" i="3"/>
  <c r="P245" i="3"/>
  <c r="O245" i="3"/>
  <c r="N245" i="3"/>
  <c r="M245" i="3"/>
  <c r="L245" i="3"/>
  <c r="K245" i="3"/>
  <c r="J245" i="3"/>
  <c r="I245" i="3"/>
  <c r="H245" i="3"/>
  <c r="G245" i="3"/>
  <c r="F245" i="3"/>
  <c r="E245" i="3"/>
  <c r="D245" i="3"/>
  <c r="C245" i="3"/>
  <c r="B245" i="3"/>
  <c r="AQ244" i="3"/>
  <c r="AP244" i="3"/>
  <c r="AO244" i="3"/>
  <c r="AN244" i="3"/>
  <c r="AM244" i="3"/>
  <c r="AL244" i="3"/>
  <c r="AK244" i="3"/>
  <c r="AJ244" i="3"/>
  <c r="AI244" i="3"/>
  <c r="AH244" i="3"/>
  <c r="AG244" i="3"/>
  <c r="AF244" i="3"/>
  <c r="AE244" i="3"/>
  <c r="AD244" i="3"/>
  <c r="AC244" i="3"/>
  <c r="AB244" i="3"/>
  <c r="AA244" i="3"/>
  <c r="Z244" i="3"/>
  <c r="Y244" i="3"/>
  <c r="X244" i="3"/>
  <c r="W244" i="3"/>
  <c r="P244" i="3"/>
  <c r="O244" i="3"/>
  <c r="N244" i="3"/>
  <c r="M244" i="3"/>
  <c r="L244" i="3"/>
  <c r="K244" i="3"/>
  <c r="J244" i="3"/>
  <c r="I244" i="3"/>
  <c r="H244" i="3"/>
  <c r="G244" i="3"/>
  <c r="F244" i="3"/>
  <c r="E244" i="3"/>
  <c r="D244" i="3"/>
  <c r="C244" i="3"/>
  <c r="B244" i="3"/>
  <c r="AQ243" i="3"/>
  <c r="AP243" i="3"/>
  <c r="AO243" i="3"/>
  <c r="AN243" i="3"/>
  <c r="AM243" i="3"/>
  <c r="AL243" i="3"/>
  <c r="AK243" i="3"/>
  <c r="AJ243" i="3"/>
  <c r="AI243" i="3"/>
  <c r="AH243" i="3"/>
  <c r="AG243" i="3"/>
  <c r="AF243" i="3"/>
  <c r="AE243" i="3"/>
  <c r="AD243" i="3"/>
  <c r="AC243" i="3"/>
  <c r="AB243" i="3"/>
  <c r="AA243" i="3"/>
  <c r="Z243" i="3"/>
  <c r="Y243" i="3"/>
  <c r="X243" i="3"/>
  <c r="W243" i="3"/>
  <c r="P243" i="3"/>
  <c r="O243" i="3"/>
  <c r="N243" i="3"/>
  <c r="M243" i="3"/>
  <c r="L243" i="3"/>
  <c r="K243" i="3"/>
  <c r="J243" i="3"/>
  <c r="I243" i="3"/>
  <c r="H243" i="3"/>
  <c r="G243" i="3"/>
  <c r="F243" i="3"/>
  <c r="E243" i="3"/>
  <c r="D243" i="3"/>
  <c r="C243" i="3"/>
  <c r="B243" i="3"/>
  <c r="AB239" i="3"/>
  <c r="AA239" i="3"/>
  <c r="Z239" i="3"/>
  <c r="AB238" i="3"/>
  <c r="AA238" i="3"/>
  <c r="Z238" i="3"/>
  <c r="AU237" i="3"/>
  <c r="AX237" i="3" s="1"/>
  <c r="AT237" i="3"/>
  <c r="AW237" i="3" s="1"/>
  <c r="AS237" i="3"/>
  <c r="AV237" i="3" s="1"/>
  <c r="AU236" i="3"/>
  <c r="AX236" i="3" s="1"/>
  <c r="AT236" i="3"/>
  <c r="AW236" i="3" s="1"/>
  <c r="AS236" i="3"/>
  <c r="AV236" i="3" s="1"/>
  <c r="AU235" i="3"/>
  <c r="AX235" i="3" s="1"/>
  <c r="AT235" i="3"/>
  <c r="AW235" i="3" s="1"/>
  <c r="AS235" i="3"/>
  <c r="AV235" i="3" s="1"/>
  <c r="AU234" i="3"/>
  <c r="AX234" i="3" s="1"/>
  <c r="AT234" i="3"/>
  <c r="AW234" i="3" s="1"/>
  <c r="AS234" i="3"/>
  <c r="AV234" i="3" s="1"/>
  <c r="AU233" i="3"/>
  <c r="AX233" i="3" s="1"/>
  <c r="AT233" i="3"/>
  <c r="AW233" i="3" s="1"/>
  <c r="AS233" i="3"/>
  <c r="AV233" i="3" s="1"/>
  <c r="AU232" i="3"/>
  <c r="AX232" i="3" s="1"/>
  <c r="AT232" i="3"/>
  <c r="AW232" i="3" s="1"/>
  <c r="AS232" i="3"/>
  <c r="AV232" i="3" s="1"/>
  <c r="AU231" i="3"/>
  <c r="AX231" i="3" s="1"/>
  <c r="AT231" i="3"/>
  <c r="AW231" i="3" s="1"/>
  <c r="AS231" i="3"/>
  <c r="AV231" i="3" s="1"/>
  <c r="AU230" i="3"/>
  <c r="AX230" i="3" s="1"/>
  <c r="AT230" i="3"/>
  <c r="AW230" i="3" s="1"/>
  <c r="AS230" i="3"/>
  <c r="AV230" i="3" s="1"/>
  <c r="AU229" i="3"/>
  <c r="AX229" i="3" s="1"/>
  <c r="AT229" i="3"/>
  <c r="AW229" i="3" s="1"/>
  <c r="AS229" i="3"/>
  <c r="AV229" i="3" s="1"/>
  <c r="AU228" i="3"/>
  <c r="AX228" i="3" s="1"/>
  <c r="AX238" i="3" s="1"/>
  <c r="AT228" i="3"/>
  <c r="AW228" i="3" s="1"/>
  <c r="AS228" i="3"/>
  <c r="AV228" i="3" s="1"/>
  <c r="AU227" i="3"/>
  <c r="AX227" i="3" s="1"/>
  <c r="AT227" i="3"/>
  <c r="AW227" i="3" s="1"/>
  <c r="AS227" i="3"/>
  <c r="AV227" i="3" s="1"/>
  <c r="AU226" i="3"/>
  <c r="AX226" i="3" s="1"/>
  <c r="AT226" i="3"/>
  <c r="AW226" i="3" s="1"/>
  <c r="AS226" i="3"/>
  <c r="AV226" i="3" s="1"/>
  <c r="AU225" i="3"/>
  <c r="AX225" i="3" s="1"/>
  <c r="AT225" i="3"/>
  <c r="AW225" i="3" s="1"/>
  <c r="AS225" i="3"/>
  <c r="AV225" i="3" s="1"/>
  <c r="AU224" i="3"/>
  <c r="AX224" i="3" s="1"/>
  <c r="AT224" i="3"/>
  <c r="AW224" i="3" s="1"/>
  <c r="AS224" i="3"/>
  <c r="AV224" i="3" s="1"/>
  <c r="AU223" i="3"/>
  <c r="AX223" i="3" s="1"/>
  <c r="AT223" i="3"/>
  <c r="AW223" i="3" s="1"/>
  <c r="AS223" i="3"/>
  <c r="AV223" i="3" s="1"/>
  <c r="AU222" i="3"/>
  <c r="AX222" i="3" s="1"/>
  <c r="AT222" i="3"/>
  <c r="AW222" i="3" s="1"/>
  <c r="AS222" i="3"/>
  <c r="AV222" i="3" s="1"/>
  <c r="AU221" i="3"/>
  <c r="AX221" i="3" s="1"/>
  <c r="AT221" i="3"/>
  <c r="AW221" i="3" s="1"/>
  <c r="AS221" i="3"/>
  <c r="AV221" i="3" s="1"/>
  <c r="AU220" i="3"/>
  <c r="AX220" i="3" s="1"/>
  <c r="AT220" i="3"/>
  <c r="AW220" i="3" s="1"/>
  <c r="AS220" i="3"/>
  <c r="AV220" i="3" s="1"/>
  <c r="AU219" i="3"/>
  <c r="AX219" i="3" s="1"/>
  <c r="AT219" i="3"/>
  <c r="AW219" i="3" s="1"/>
  <c r="AS219" i="3"/>
  <c r="AV219" i="3" s="1"/>
  <c r="AU218" i="3"/>
  <c r="AX218" i="3" s="1"/>
  <c r="AT218" i="3"/>
  <c r="AW218" i="3" s="1"/>
  <c r="AS218" i="3"/>
  <c r="AV218" i="3" s="1"/>
  <c r="AU217" i="3"/>
  <c r="AX217" i="3" s="1"/>
  <c r="AT217" i="3"/>
  <c r="AW217" i="3" s="1"/>
  <c r="AS217" i="3"/>
  <c r="AV217" i="3" s="1"/>
  <c r="AU216" i="3"/>
  <c r="AX216" i="3" s="1"/>
  <c r="AT216" i="3"/>
  <c r="AW216" i="3" s="1"/>
  <c r="AS216" i="3"/>
  <c r="AV216" i="3" s="1"/>
  <c r="AU215" i="3"/>
  <c r="AX215" i="3" s="1"/>
  <c r="AT215" i="3"/>
  <c r="AW215" i="3" s="1"/>
  <c r="AS215" i="3"/>
  <c r="AV215" i="3" s="1"/>
  <c r="AU214" i="3"/>
  <c r="AX214" i="3" s="1"/>
  <c r="AT214" i="3"/>
  <c r="AW214" i="3" s="1"/>
  <c r="AS214" i="3"/>
  <c r="AV214" i="3" s="1"/>
  <c r="AU213" i="3"/>
  <c r="AX213" i="3" s="1"/>
  <c r="AT213" i="3"/>
  <c r="AW213" i="3" s="1"/>
  <c r="AS213" i="3"/>
  <c r="AV213" i="3" s="1"/>
  <c r="AU212" i="3"/>
  <c r="AX212" i="3" s="1"/>
  <c r="AT212" i="3"/>
  <c r="AW212" i="3" s="1"/>
  <c r="AS212" i="3"/>
  <c r="AV212" i="3" s="1"/>
  <c r="AV211" i="3"/>
  <c r="AU211" i="3"/>
  <c r="AX211" i="3" s="1"/>
  <c r="AT211" i="3"/>
  <c r="AW211" i="3" s="1"/>
  <c r="AS211" i="3"/>
  <c r="AU210" i="3"/>
  <c r="AX210" i="3" s="1"/>
  <c r="AT210" i="3"/>
  <c r="AW210" i="3" s="1"/>
  <c r="AS210" i="3"/>
  <c r="AV210" i="3" s="1"/>
  <c r="AW209" i="3"/>
  <c r="AV209" i="3"/>
  <c r="AU209" i="3"/>
  <c r="AX209" i="3" s="1"/>
  <c r="AT209" i="3"/>
  <c r="AS209" i="3"/>
  <c r="AU208" i="3"/>
  <c r="AX208" i="3" s="1"/>
  <c r="AT208" i="3"/>
  <c r="AW208" i="3" s="1"/>
  <c r="AS208" i="3"/>
  <c r="AV208" i="3" s="1"/>
  <c r="AW207" i="3"/>
  <c r="AU207" i="3"/>
  <c r="AX207" i="3" s="1"/>
  <c r="AT207" i="3"/>
  <c r="AS207" i="3"/>
  <c r="AV207" i="3" s="1"/>
  <c r="AU206" i="3"/>
  <c r="AX206" i="3" s="1"/>
  <c r="AT206" i="3"/>
  <c r="AW206" i="3" s="1"/>
  <c r="AS206" i="3"/>
  <c r="AV206" i="3" s="1"/>
  <c r="AU205" i="3"/>
  <c r="AX205" i="3" s="1"/>
  <c r="AT205" i="3"/>
  <c r="AW205" i="3" s="1"/>
  <c r="AS205" i="3"/>
  <c r="AV205" i="3" s="1"/>
  <c r="AU204" i="3"/>
  <c r="AX204" i="3" s="1"/>
  <c r="AT204" i="3"/>
  <c r="AW204" i="3" s="1"/>
  <c r="AS204" i="3"/>
  <c r="AV204" i="3" s="1"/>
  <c r="AU203" i="3"/>
  <c r="AX203" i="3" s="1"/>
  <c r="AT203" i="3"/>
  <c r="AW203" i="3" s="1"/>
  <c r="AS203" i="3"/>
  <c r="AV203" i="3" s="1"/>
  <c r="AU202" i="3"/>
  <c r="AX202" i="3" s="1"/>
  <c r="AT202" i="3"/>
  <c r="AW202" i="3" s="1"/>
  <c r="AS202" i="3"/>
  <c r="AV202" i="3" s="1"/>
  <c r="AU201" i="3"/>
  <c r="AX201" i="3" s="1"/>
  <c r="AT201" i="3"/>
  <c r="AW201" i="3" s="1"/>
  <c r="AS201" i="3"/>
  <c r="AV201" i="3" s="1"/>
  <c r="AU200" i="3"/>
  <c r="AX200" i="3" s="1"/>
  <c r="AT200" i="3"/>
  <c r="AW200" i="3" s="1"/>
  <c r="AS200" i="3"/>
  <c r="AV200" i="3" s="1"/>
  <c r="AU199" i="3"/>
  <c r="AX199" i="3" s="1"/>
  <c r="AT199" i="3"/>
  <c r="AW199" i="3" s="1"/>
  <c r="AS199" i="3"/>
  <c r="AV199" i="3" s="1"/>
  <c r="AU198" i="3"/>
  <c r="AX198" i="3" s="1"/>
  <c r="AT198" i="3"/>
  <c r="AW198" i="3" s="1"/>
  <c r="AS198" i="3"/>
  <c r="AV198" i="3" s="1"/>
  <c r="AU197" i="3"/>
  <c r="AX197" i="3" s="1"/>
  <c r="AT197" i="3"/>
  <c r="AW197" i="3" s="1"/>
  <c r="AS197" i="3"/>
  <c r="AV197" i="3" s="1"/>
  <c r="AU196" i="3"/>
  <c r="AX196" i="3" s="1"/>
  <c r="AT196" i="3"/>
  <c r="AW196" i="3" s="1"/>
  <c r="AS196" i="3"/>
  <c r="AV196" i="3" s="1"/>
  <c r="AU195" i="3"/>
  <c r="AX195" i="3" s="1"/>
  <c r="AT195" i="3"/>
  <c r="AW195" i="3" s="1"/>
  <c r="AS195" i="3"/>
  <c r="AV195" i="3" s="1"/>
  <c r="AU194" i="3"/>
  <c r="AX194" i="3" s="1"/>
  <c r="AT194" i="3"/>
  <c r="AW194" i="3" s="1"/>
  <c r="AS194" i="3"/>
  <c r="AV194" i="3" s="1"/>
  <c r="AU193" i="3"/>
  <c r="AX193" i="3" s="1"/>
  <c r="AT193" i="3"/>
  <c r="AW193" i="3" s="1"/>
  <c r="AS193" i="3"/>
  <c r="AV193" i="3" s="1"/>
  <c r="AU192" i="3"/>
  <c r="AX192" i="3" s="1"/>
  <c r="AT192" i="3"/>
  <c r="AW192" i="3" s="1"/>
  <c r="AS192" i="3"/>
  <c r="AV192" i="3" s="1"/>
  <c r="AU191" i="3"/>
  <c r="AX191" i="3" s="1"/>
  <c r="AT191" i="3"/>
  <c r="AW191" i="3" s="1"/>
  <c r="AS191" i="3"/>
  <c r="AV191" i="3" s="1"/>
  <c r="AU190" i="3"/>
  <c r="AX190" i="3" s="1"/>
  <c r="AT190" i="3"/>
  <c r="AW190" i="3" s="1"/>
  <c r="AS190" i="3"/>
  <c r="AV190" i="3" s="1"/>
  <c r="AU189" i="3"/>
  <c r="AX189" i="3" s="1"/>
  <c r="AT189" i="3"/>
  <c r="AW189" i="3" s="1"/>
  <c r="AS189" i="3"/>
  <c r="AV189" i="3" s="1"/>
  <c r="AU188" i="3"/>
  <c r="AX188" i="3" s="1"/>
  <c r="AT188" i="3"/>
  <c r="AW188" i="3" s="1"/>
  <c r="AS188" i="3"/>
  <c r="AV188" i="3" s="1"/>
  <c r="AU187" i="3"/>
  <c r="AX187" i="3" s="1"/>
  <c r="AT187" i="3"/>
  <c r="AW187" i="3" s="1"/>
  <c r="AS187" i="3"/>
  <c r="AV187" i="3" s="1"/>
  <c r="AU186" i="3"/>
  <c r="AX186" i="3" s="1"/>
  <c r="AT186" i="3"/>
  <c r="AW186" i="3" s="1"/>
  <c r="AS186" i="3"/>
  <c r="AV186" i="3" s="1"/>
  <c r="AU185" i="3"/>
  <c r="AX185" i="3" s="1"/>
  <c r="AT185" i="3"/>
  <c r="AW185" i="3" s="1"/>
  <c r="AS185" i="3"/>
  <c r="AV185" i="3" s="1"/>
  <c r="AB175" i="3"/>
  <c r="AA175" i="3"/>
  <c r="Z175" i="3"/>
  <c r="AB174" i="3"/>
  <c r="AA174" i="3"/>
  <c r="Z174" i="3"/>
  <c r="BC173" i="3"/>
  <c r="BB173" i="3"/>
  <c r="BA173" i="3"/>
  <c r="AU173" i="3"/>
  <c r="AX173" i="3" s="1"/>
  <c r="AT173" i="3"/>
  <c r="AW173" i="3" s="1"/>
  <c r="AS173" i="3"/>
  <c r="AV173" i="3" s="1"/>
  <c r="BC172" i="3"/>
  <c r="BB172" i="3"/>
  <c r="BA172" i="3"/>
  <c r="AU172" i="3"/>
  <c r="AX172" i="3" s="1"/>
  <c r="AT172" i="3"/>
  <c r="AW172" i="3" s="1"/>
  <c r="AS172" i="3"/>
  <c r="AV172" i="3" s="1"/>
  <c r="BC171" i="3"/>
  <c r="BB171" i="3"/>
  <c r="BA171" i="3"/>
  <c r="AU171" i="3"/>
  <c r="AX171" i="3" s="1"/>
  <c r="AT171" i="3"/>
  <c r="AW171" i="3" s="1"/>
  <c r="AS171" i="3"/>
  <c r="AV171" i="3" s="1"/>
  <c r="BC170" i="3"/>
  <c r="BB170" i="3"/>
  <c r="BA170" i="3"/>
  <c r="AU170" i="3"/>
  <c r="AX170" i="3" s="1"/>
  <c r="AT170" i="3"/>
  <c r="AW170" i="3" s="1"/>
  <c r="AS170" i="3"/>
  <c r="AV170" i="3" s="1"/>
  <c r="BC169" i="3"/>
  <c r="BB169" i="3"/>
  <c r="BA169" i="3"/>
  <c r="AU169" i="3"/>
  <c r="AX169" i="3" s="1"/>
  <c r="AT169" i="3"/>
  <c r="AW169" i="3" s="1"/>
  <c r="AS169" i="3"/>
  <c r="AV169" i="3" s="1"/>
  <c r="BC168" i="3"/>
  <c r="BB168" i="3"/>
  <c r="BA168" i="3"/>
  <c r="AU168" i="3"/>
  <c r="AX168" i="3" s="1"/>
  <c r="AT168" i="3"/>
  <c r="AW168" i="3" s="1"/>
  <c r="AS168" i="3"/>
  <c r="AV168" i="3" s="1"/>
  <c r="BC167" i="3"/>
  <c r="BB167" i="3"/>
  <c r="BA167" i="3"/>
  <c r="AU167" i="3"/>
  <c r="AX167" i="3" s="1"/>
  <c r="AT167" i="3"/>
  <c r="AW167" i="3" s="1"/>
  <c r="AS167" i="3"/>
  <c r="AV167" i="3" s="1"/>
  <c r="BC166" i="3"/>
  <c r="BB166" i="3"/>
  <c r="BA166" i="3"/>
  <c r="AU166" i="3"/>
  <c r="AX166" i="3" s="1"/>
  <c r="AT166" i="3"/>
  <c r="AW166" i="3" s="1"/>
  <c r="AS166" i="3"/>
  <c r="AV166" i="3" s="1"/>
  <c r="BC165" i="3"/>
  <c r="BB165" i="3"/>
  <c r="BA165" i="3"/>
  <c r="AU165" i="3"/>
  <c r="AX165" i="3" s="1"/>
  <c r="AT165" i="3"/>
  <c r="AW165" i="3" s="1"/>
  <c r="AS165" i="3"/>
  <c r="AV165" i="3" s="1"/>
  <c r="BC164" i="3"/>
  <c r="BB164" i="3"/>
  <c r="BA164" i="3"/>
  <c r="AU164" i="3"/>
  <c r="AX164" i="3" s="1"/>
  <c r="AT164" i="3"/>
  <c r="AW164" i="3" s="1"/>
  <c r="AS164" i="3"/>
  <c r="AV164" i="3" s="1"/>
  <c r="BC163" i="3"/>
  <c r="BB163" i="3"/>
  <c r="BA163" i="3"/>
  <c r="AU163" i="3"/>
  <c r="AX163" i="3" s="1"/>
  <c r="AT163" i="3"/>
  <c r="AW163" i="3" s="1"/>
  <c r="AS163" i="3"/>
  <c r="AV163" i="3" s="1"/>
  <c r="BC162" i="3"/>
  <c r="BB162" i="3"/>
  <c r="BA162" i="3"/>
  <c r="AV162" i="3"/>
  <c r="AU162" i="3"/>
  <c r="AX162" i="3" s="1"/>
  <c r="AT162" i="3"/>
  <c r="AW162" i="3" s="1"/>
  <c r="AS162" i="3"/>
  <c r="BC161" i="3"/>
  <c r="BB161" i="3"/>
  <c r="BA161" i="3"/>
  <c r="AU161" i="3"/>
  <c r="AX161" i="3" s="1"/>
  <c r="AT161" i="3"/>
  <c r="AW161" i="3" s="1"/>
  <c r="AS161" i="3"/>
  <c r="AV161" i="3" s="1"/>
  <c r="BC160" i="3"/>
  <c r="BB160" i="3"/>
  <c r="BA160" i="3"/>
  <c r="AU160" i="3"/>
  <c r="AX160" i="3" s="1"/>
  <c r="AT160" i="3"/>
  <c r="AW160" i="3" s="1"/>
  <c r="AS160" i="3"/>
  <c r="AV160" i="3" s="1"/>
  <c r="BC159" i="3"/>
  <c r="BB159" i="3"/>
  <c r="BA159" i="3"/>
  <c r="AU159" i="3"/>
  <c r="AX159" i="3" s="1"/>
  <c r="AT159" i="3"/>
  <c r="AW159" i="3" s="1"/>
  <c r="AS159" i="3"/>
  <c r="AV159" i="3" s="1"/>
  <c r="BC158" i="3"/>
  <c r="BB158" i="3"/>
  <c r="BA158" i="3"/>
  <c r="AU158" i="3"/>
  <c r="AX158" i="3" s="1"/>
  <c r="AT158" i="3"/>
  <c r="AW158" i="3" s="1"/>
  <c r="AS158" i="3"/>
  <c r="AV158" i="3" s="1"/>
  <c r="BC157" i="3"/>
  <c r="BB157" i="3"/>
  <c r="BA157" i="3"/>
  <c r="AU157" i="3"/>
  <c r="AX157" i="3" s="1"/>
  <c r="AT157" i="3"/>
  <c r="AW157" i="3" s="1"/>
  <c r="AS157" i="3"/>
  <c r="AV157" i="3" s="1"/>
  <c r="BC156" i="3"/>
  <c r="BB156" i="3"/>
  <c r="BA156" i="3"/>
  <c r="AU156" i="3"/>
  <c r="AX156" i="3" s="1"/>
  <c r="AT156" i="3"/>
  <c r="AW156" i="3" s="1"/>
  <c r="AS156" i="3"/>
  <c r="AV156" i="3" s="1"/>
  <c r="BC155" i="3"/>
  <c r="BB155" i="3"/>
  <c r="BA155" i="3"/>
  <c r="AU155" i="3"/>
  <c r="AX155" i="3" s="1"/>
  <c r="AT155" i="3"/>
  <c r="AW155" i="3" s="1"/>
  <c r="AS155" i="3"/>
  <c r="AV155" i="3" s="1"/>
  <c r="BC154" i="3"/>
  <c r="BB154" i="3"/>
  <c r="BA154" i="3"/>
  <c r="AU154" i="3"/>
  <c r="AX154" i="3" s="1"/>
  <c r="AT154" i="3"/>
  <c r="AW154" i="3" s="1"/>
  <c r="AS154" i="3"/>
  <c r="AV154" i="3" s="1"/>
  <c r="BC153" i="3"/>
  <c r="BB153" i="3"/>
  <c r="BA153" i="3"/>
  <c r="AU153" i="3"/>
  <c r="AX153" i="3" s="1"/>
  <c r="AT153" i="3"/>
  <c r="AW153" i="3" s="1"/>
  <c r="AS153" i="3"/>
  <c r="AV153" i="3" s="1"/>
  <c r="BC152" i="3"/>
  <c r="BB152" i="3"/>
  <c r="BA152" i="3"/>
  <c r="AW152" i="3"/>
  <c r="AU152" i="3"/>
  <c r="AX152" i="3" s="1"/>
  <c r="AT152" i="3"/>
  <c r="AS152" i="3"/>
  <c r="AV152" i="3" s="1"/>
  <c r="BC151" i="3"/>
  <c r="BB151" i="3"/>
  <c r="BA151" i="3"/>
  <c r="AU151" i="3"/>
  <c r="AX151" i="3" s="1"/>
  <c r="AT151" i="3"/>
  <c r="AW151" i="3" s="1"/>
  <c r="AS151" i="3"/>
  <c r="AV151" i="3" s="1"/>
  <c r="BC150" i="3"/>
  <c r="BB150" i="3"/>
  <c r="BA150" i="3"/>
  <c r="AU150" i="3"/>
  <c r="AX150" i="3" s="1"/>
  <c r="AT150" i="3"/>
  <c r="AW150" i="3" s="1"/>
  <c r="AS150" i="3"/>
  <c r="AV150" i="3" s="1"/>
  <c r="BC149" i="3"/>
  <c r="BB149" i="3"/>
  <c r="BA149" i="3"/>
  <c r="AW149" i="3"/>
  <c r="AU149" i="3"/>
  <c r="AX149" i="3" s="1"/>
  <c r="AT149" i="3"/>
  <c r="AS149" i="3"/>
  <c r="AV149" i="3" s="1"/>
  <c r="BC148" i="3"/>
  <c r="BB148" i="3"/>
  <c r="BA148" i="3"/>
  <c r="AU148" i="3"/>
  <c r="AX148" i="3" s="1"/>
  <c r="AT148" i="3"/>
  <c r="AW148" i="3" s="1"/>
  <c r="AS148" i="3"/>
  <c r="AV148" i="3" s="1"/>
  <c r="BC147" i="3"/>
  <c r="BB147" i="3"/>
  <c r="BA147" i="3"/>
  <c r="AU147" i="3"/>
  <c r="AX147" i="3" s="1"/>
  <c r="AT147" i="3"/>
  <c r="AW147" i="3" s="1"/>
  <c r="AS147" i="3"/>
  <c r="AV147" i="3" s="1"/>
  <c r="BC146" i="3"/>
  <c r="BB146" i="3"/>
  <c r="BA146" i="3"/>
  <c r="AU146" i="3"/>
  <c r="AX146" i="3" s="1"/>
  <c r="AT146" i="3"/>
  <c r="AW146" i="3" s="1"/>
  <c r="AS146" i="3"/>
  <c r="AV146" i="3" s="1"/>
  <c r="BC145" i="3"/>
  <c r="BB145" i="3"/>
  <c r="BA145" i="3"/>
  <c r="AU145" i="3"/>
  <c r="AX145" i="3" s="1"/>
  <c r="AT145" i="3"/>
  <c r="AW145" i="3" s="1"/>
  <c r="AS145" i="3"/>
  <c r="AV145" i="3" s="1"/>
  <c r="BC144" i="3"/>
  <c r="BB144" i="3"/>
  <c r="BA144" i="3"/>
  <c r="AU144" i="3"/>
  <c r="AX144" i="3" s="1"/>
  <c r="AT144" i="3"/>
  <c r="AW144" i="3" s="1"/>
  <c r="AS144" i="3"/>
  <c r="AV144" i="3" s="1"/>
  <c r="BC143" i="3"/>
  <c r="BB143" i="3"/>
  <c r="BA143" i="3"/>
  <c r="AU143" i="3"/>
  <c r="AX143" i="3" s="1"/>
  <c r="AT143" i="3"/>
  <c r="AW143" i="3" s="1"/>
  <c r="AS143" i="3"/>
  <c r="AV143" i="3" s="1"/>
  <c r="BC142" i="3"/>
  <c r="BB142" i="3"/>
  <c r="BA142" i="3"/>
  <c r="AU142" i="3"/>
  <c r="AX142" i="3" s="1"/>
  <c r="AT142" i="3"/>
  <c r="AW142" i="3" s="1"/>
  <c r="AS142" i="3"/>
  <c r="AV142" i="3" s="1"/>
  <c r="BC141" i="3"/>
  <c r="BB141" i="3"/>
  <c r="BA141" i="3"/>
  <c r="AU141" i="3"/>
  <c r="AX141" i="3" s="1"/>
  <c r="AT141" i="3"/>
  <c r="AW141" i="3" s="1"/>
  <c r="AS141" i="3"/>
  <c r="AV141" i="3" s="1"/>
  <c r="BC140" i="3"/>
  <c r="BB140" i="3"/>
  <c r="BA140" i="3"/>
  <c r="AX140" i="3"/>
  <c r="AU140" i="3"/>
  <c r="AT140" i="3"/>
  <c r="AW140" i="3" s="1"/>
  <c r="AS140" i="3"/>
  <c r="AV140" i="3" s="1"/>
  <c r="BC139" i="3"/>
  <c r="BB139" i="3"/>
  <c r="BA139" i="3"/>
  <c r="AU139" i="3"/>
  <c r="AX139" i="3" s="1"/>
  <c r="AT139" i="3"/>
  <c r="AW139" i="3" s="1"/>
  <c r="AS139" i="3"/>
  <c r="AV139" i="3" s="1"/>
  <c r="BC138" i="3"/>
  <c r="BB138" i="3"/>
  <c r="BA138" i="3"/>
  <c r="AU138" i="3"/>
  <c r="AX138" i="3" s="1"/>
  <c r="AT138" i="3"/>
  <c r="AW138" i="3" s="1"/>
  <c r="AS138" i="3"/>
  <c r="AV138" i="3" s="1"/>
  <c r="BC137" i="3"/>
  <c r="BB137" i="3"/>
  <c r="BA137" i="3"/>
  <c r="AU137" i="3"/>
  <c r="AX137" i="3" s="1"/>
  <c r="AT137" i="3"/>
  <c r="AW137" i="3" s="1"/>
  <c r="AS137" i="3"/>
  <c r="AV137" i="3" s="1"/>
  <c r="BC136" i="3"/>
  <c r="BB136" i="3"/>
  <c r="BA136" i="3"/>
  <c r="AX136" i="3"/>
  <c r="AU136" i="3"/>
  <c r="AT136" i="3"/>
  <c r="AW136" i="3" s="1"/>
  <c r="AS136" i="3"/>
  <c r="AV136" i="3" s="1"/>
  <c r="BC135" i="3"/>
  <c r="BB135" i="3"/>
  <c r="BA135" i="3"/>
  <c r="AU135" i="3"/>
  <c r="AX135" i="3" s="1"/>
  <c r="AT135" i="3"/>
  <c r="AW135" i="3" s="1"/>
  <c r="AS135" i="3"/>
  <c r="AV135" i="3" s="1"/>
  <c r="BC134" i="3"/>
  <c r="BB134" i="3"/>
  <c r="BA134" i="3"/>
  <c r="AX134" i="3"/>
  <c r="AU134" i="3"/>
  <c r="AT134" i="3"/>
  <c r="AW134" i="3" s="1"/>
  <c r="AS134" i="3"/>
  <c r="AV134" i="3" s="1"/>
  <c r="BC133" i="3"/>
  <c r="BB133" i="3"/>
  <c r="BA133" i="3"/>
  <c r="AU133" i="3"/>
  <c r="AX133" i="3" s="1"/>
  <c r="AT133" i="3"/>
  <c r="AW133" i="3" s="1"/>
  <c r="AS133" i="3"/>
  <c r="AV133" i="3" s="1"/>
  <c r="BC132" i="3"/>
  <c r="BB132" i="3"/>
  <c r="BA132" i="3"/>
  <c r="AU132" i="3"/>
  <c r="AX132" i="3" s="1"/>
  <c r="AT132" i="3"/>
  <c r="AW132" i="3" s="1"/>
  <c r="AS132" i="3"/>
  <c r="AV132" i="3" s="1"/>
  <c r="BC131" i="3"/>
  <c r="BB131" i="3"/>
  <c r="BA131" i="3"/>
  <c r="AU131" i="3"/>
  <c r="AX131" i="3" s="1"/>
  <c r="AT131" i="3"/>
  <c r="AW131" i="3" s="1"/>
  <c r="AS131" i="3"/>
  <c r="AV131" i="3" s="1"/>
  <c r="BC130" i="3"/>
  <c r="BB130" i="3"/>
  <c r="BA130" i="3"/>
  <c r="AU130" i="3"/>
  <c r="AX130" i="3" s="1"/>
  <c r="AT130" i="3"/>
  <c r="AW130" i="3" s="1"/>
  <c r="AS130" i="3"/>
  <c r="AV130" i="3" s="1"/>
  <c r="BC129" i="3"/>
  <c r="BB129" i="3"/>
  <c r="BA129" i="3"/>
  <c r="AX129" i="3"/>
  <c r="AU129" i="3"/>
  <c r="AT129" i="3"/>
  <c r="AW129" i="3" s="1"/>
  <c r="AS129" i="3"/>
  <c r="AV129" i="3" s="1"/>
  <c r="BC128" i="3"/>
  <c r="BB128" i="3"/>
  <c r="BA128" i="3"/>
  <c r="AU128" i="3"/>
  <c r="AX128" i="3" s="1"/>
  <c r="AT128" i="3"/>
  <c r="AW128" i="3" s="1"/>
  <c r="AS128" i="3"/>
  <c r="AV128" i="3" s="1"/>
  <c r="BC127" i="3"/>
  <c r="BB127" i="3"/>
  <c r="BA127" i="3"/>
  <c r="AU127" i="3"/>
  <c r="AX127" i="3" s="1"/>
  <c r="AT127" i="3"/>
  <c r="AW127" i="3" s="1"/>
  <c r="AS127" i="3"/>
  <c r="AV127" i="3" s="1"/>
  <c r="BC126" i="3"/>
  <c r="BB126" i="3"/>
  <c r="BA126" i="3"/>
  <c r="AU126" i="3"/>
  <c r="AX126" i="3" s="1"/>
  <c r="AT126" i="3"/>
  <c r="AW126" i="3" s="1"/>
  <c r="AS126" i="3"/>
  <c r="AV126" i="3" s="1"/>
  <c r="BC125" i="3"/>
  <c r="BB125" i="3"/>
  <c r="BA125" i="3"/>
  <c r="AU125" i="3"/>
  <c r="AX125" i="3" s="1"/>
  <c r="AT125" i="3"/>
  <c r="AW125" i="3" s="1"/>
  <c r="AS125" i="3"/>
  <c r="AV125" i="3" s="1"/>
  <c r="BC124" i="3"/>
  <c r="BB124" i="3"/>
  <c r="BA124" i="3"/>
  <c r="AU124" i="3"/>
  <c r="AX124" i="3" s="1"/>
  <c r="AT124" i="3"/>
  <c r="AW124" i="3" s="1"/>
  <c r="AS124" i="3"/>
  <c r="AV124" i="3" s="1"/>
  <c r="BC123" i="3"/>
  <c r="BB123" i="3"/>
  <c r="BA123" i="3"/>
  <c r="AV123" i="3"/>
  <c r="AU123" i="3"/>
  <c r="AX123" i="3" s="1"/>
  <c r="AT123" i="3"/>
  <c r="AW123" i="3" s="1"/>
  <c r="AS123" i="3"/>
  <c r="BC122" i="3"/>
  <c r="BB122" i="3"/>
  <c r="BA122" i="3"/>
  <c r="AU122" i="3"/>
  <c r="AX122" i="3" s="1"/>
  <c r="AT122" i="3"/>
  <c r="AW122" i="3" s="1"/>
  <c r="AS122" i="3"/>
  <c r="AV122" i="3" s="1"/>
  <c r="BC121" i="3"/>
  <c r="BB121" i="3"/>
  <c r="BA121" i="3"/>
  <c r="AU121" i="3"/>
  <c r="AX121" i="3" s="1"/>
  <c r="AT121" i="3"/>
  <c r="AW121" i="3" s="1"/>
  <c r="AS121" i="3"/>
  <c r="AV121" i="3" s="1"/>
  <c r="BC120" i="3"/>
  <c r="BB120" i="3"/>
  <c r="BA120" i="3"/>
  <c r="AU120" i="3"/>
  <c r="AX120" i="3" s="1"/>
  <c r="AT120" i="3"/>
  <c r="AW120" i="3" s="1"/>
  <c r="AS120" i="3"/>
  <c r="AV120" i="3" s="1"/>
  <c r="BC119" i="3"/>
  <c r="BB119" i="3"/>
  <c r="BA119" i="3"/>
  <c r="AU119" i="3"/>
  <c r="AX119" i="3" s="1"/>
  <c r="AT119" i="3"/>
  <c r="AW119" i="3" s="1"/>
  <c r="AS119" i="3"/>
  <c r="AV119" i="3" s="1"/>
  <c r="BC118" i="3"/>
  <c r="BB118" i="3"/>
  <c r="BA118" i="3"/>
  <c r="AW118" i="3"/>
  <c r="AU118" i="3"/>
  <c r="AX118" i="3" s="1"/>
  <c r="AT118" i="3"/>
  <c r="AS118" i="3"/>
  <c r="AV118" i="3" s="1"/>
  <c r="BC117" i="3"/>
  <c r="BB117" i="3"/>
  <c r="BA117" i="3"/>
  <c r="AU117" i="3"/>
  <c r="AX117" i="3" s="1"/>
  <c r="AT117" i="3"/>
  <c r="AW117" i="3" s="1"/>
  <c r="AS117" i="3"/>
  <c r="AV117" i="3" s="1"/>
  <c r="F38" i="3"/>
  <c r="Q32" i="3"/>
  <c r="Q31" i="3"/>
  <c r="J31" i="3"/>
  <c r="Q30" i="3"/>
  <c r="J30" i="3"/>
  <c r="Q29" i="3"/>
  <c r="J29" i="3"/>
  <c r="Q28" i="3"/>
  <c r="J28" i="3"/>
  <c r="F28" i="3"/>
  <c r="S28" i="3" s="1"/>
  <c r="Q27" i="3"/>
  <c r="J27" i="3"/>
  <c r="F27" i="3"/>
  <c r="Q26" i="3"/>
  <c r="N26" i="3"/>
  <c r="H26" i="3"/>
  <c r="J26" i="3" s="1"/>
  <c r="B26" i="3"/>
  <c r="F26" i="3" s="1"/>
  <c r="S26" i="3" s="1"/>
  <c r="Q25" i="3"/>
  <c r="J25" i="3"/>
  <c r="F25" i="3"/>
  <c r="Q24" i="3"/>
  <c r="J24" i="3"/>
  <c r="L24" i="3" s="1"/>
  <c r="F24" i="3"/>
  <c r="A323" i="2" l="1"/>
  <c r="A82" i="8" s="1"/>
  <c r="A334" i="2"/>
  <c r="A84" i="8" s="1"/>
  <c r="A335" i="2"/>
  <c r="A85" i="8" s="1"/>
  <c r="L27" i="3"/>
  <c r="A331" i="2"/>
  <c r="A332" i="2"/>
  <c r="A329" i="2"/>
  <c r="A46" i="8" s="1"/>
  <c r="A330" i="2"/>
  <c r="A47" i="8" s="1"/>
  <c r="A327" i="2"/>
  <c r="A48" i="8" s="1"/>
  <c r="A328" i="2"/>
  <c r="A45" i="8" s="1"/>
  <c r="A192" i="2"/>
  <c r="A326" i="2"/>
  <c r="A83" i="8" s="1"/>
  <c r="FN73" i="7"/>
  <c r="GN73" i="7" s="1"/>
  <c r="FN74" i="7"/>
  <c r="GN74" i="7" s="1"/>
  <c r="FN71" i="7"/>
  <c r="GN71" i="7" s="1"/>
  <c r="FN75" i="7"/>
  <c r="GN75" i="7" s="1"/>
  <c r="FN70" i="7"/>
  <c r="GN70" i="7" s="1"/>
  <c r="FN72" i="7"/>
  <c r="GN72" i="7" s="1"/>
  <c r="AV75" i="7"/>
  <c r="GP76" i="7"/>
  <c r="GQ76" i="7" s="1"/>
  <c r="IC70" i="7"/>
  <c r="GQ72" i="7"/>
  <c r="GQ70" i="7"/>
  <c r="GQ71" i="7"/>
  <c r="GQ73" i="7"/>
  <c r="GQ74" i="7"/>
  <c r="GQ75" i="7"/>
  <c r="GT70" i="7"/>
  <c r="GT72" i="7"/>
  <c r="GT71" i="7"/>
  <c r="GS69" i="7"/>
  <c r="GT69" i="7"/>
  <c r="GT73" i="7"/>
  <c r="A325" i="2"/>
  <c r="A88" i="8" s="1"/>
  <c r="A324" i="2"/>
  <c r="A87" i="8" s="1"/>
  <c r="FW33" i="7"/>
  <c r="GV69" i="7"/>
  <c r="HD69" i="7"/>
  <c r="HF69" i="7"/>
  <c r="GU69" i="7"/>
  <c r="FW57" i="7"/>
  <c r="HE69" i="7"/>
  <c r="GR70" i="7"/>
  <c r="IB70" i="7"/>
  <c r="A319" i="2"/>
  <c r="A78" i="8" s="1"/>
  <c r="A320" i="2"/>
  <c r="A79" i="8" s="1"/>
  <c r="A321" i="2"/>
  <c r="A80" i="8" s="1"/>
  <c r="A322" i="2"/>
  <c r="A81" i="8" s="1"/>
  <c r="A315" i="2"/>
  <c r="A316" i="2"/>
  <c r="A317" i="2"/>
  <c r="E18" i="11" s="1"/>
  <c r="A314" i="2"/>
  <c r="A318" i="2"/>
  <c r="D318" i="2" s="1"/>
  <c r="A312" i="2"/>
  <c r="A313" i="2"/>
  <c r="A310" i="2"/>
  <c r="A49" i="8" s="1"/>
  <c r="A311" i="2"/>
  <c r="A308" i="2"/>
  <c r="A309" i="2"/>
  <c r="A50" i="8" s="1"/>
  <c r="A306" i="2"/>
  <c r="A307" i="2"/>
  <c r="S27" i="3"/>
  <c r="S24" i="3"/>
  <c r="L26" i="3"/>
  <c r="L28" i="3"/>
  <c r="GR71" i="7"/>
  <c r="A9" i="2"/>
  <c r="A214" i="2"/>
  <c r="A13" i="10" s="1"/>
  <c r="A305" i="2"/>
  <c r="A2" i="9" s="1"/>
  <c r="AT35" i="7"/>
  <c r="AN35" i="7"/>
  <c r="AT39" i="7"/>
  <c r="AN39" i="7"/>
  <c r="AT26" i="7"/>
  <c r="AN26" i="7"/>
  <c r="AT52" i="7"/>
  <c r="AN52" i="7"/>
  <c r="AQ68" i="7"/>
  <c r="AN68" i="7"/>
  <c r="AT45" i="7"/>
  <c r="AN45" i="7"/>
  <c r="AT44" i="7"/>
  <c r="AN44" i="7"/>
  <c r="GR73" i="7"/>
  <c r="AT37" i="7"/>
  <c r="AN37" i="7"/>
  <c r="AT22" i="7"/>
  <c r="AN22" i="7"/>
  <c r="AT30" i="7"/>
  <c r="AN30" i="7"/>
  <c r="AT42" i="7"/>
  <c r="AN42" i="7"/>
  <c r="AQ71" i="7"/>
  <c r="AN71" i="7"/>
  <c r="GR72" i="7"/>
  <c r="AT36" i="7"/>
  <c r="AN36" i="7"/>
  <c r="A304" i="2"/>
  <c r="A13" i="8" s="1"/>
  <c r="A54" i="2"/>
  <c r="A302" i="2"/>
  <c r="A20" i="11" s="1"/>
  <c r="A303" i="2"/>
  <c r="A22" i="11" s="1"/>
  <c r="FC71" i="7"/>
  <c r="FD71" i="7" s="1"/>
  <c r="FC72" i="7"/>
  <c r="FD72" i="7" s="1"/>
  <c r="FC73" i="7"/>
  <c r="FD73" i="7" s="1"/>
  <c r="FC74" i="7"/>
  <c r="FD74" i="7" s="1"/>
  <c r="FC75" i="7"/>
  <c r="FC76" i="7" s="1"/>
  <c r="FC70" i="7"/>
  <c r="FD70" i="7" s="1"/>
  <c r="AD45" i="7"/>
  <c r="AF45" i="7" s="1"/>
  <c r="A147" i="2"/>
  <c r="A13" i="11" s="1"/>
  <c r="A145" i="2"/>
  <c r="A68" i="8" s="1"/>
  <c r="B31" i="8"/>
  <c r="EH70" i="7"/>
  <c r="EI70" i="7" s="1"/>
  <c r="A49" i="2"/>
  <c r="A5" i="11" s="1"/>
  <c r="A301" i="2"/>
  <c r="A30" i="8" s="1"/>
  <c r="A299" i="2"/>
  <c r="A41" i="8" s="1"/>
  <c r="A300" i="2"/>
  <c r="FP67" i="7"/>
  <c r="FR67" i="7" s="1"/>
  <c r="AZ75" i="7"/>
  <c r="E8" i="11"/>
  <c r="FW29" i="7"/>
  <c r="FW25" i="7"/>
  <c r="FW20" i="7"/>
  <c r="AP63" i="7"/>
  <c r="FW19" i="7"/>
  <c r="FW24" i="7"/>
  <c r="FW28" i="7"/>
  <c r="FW32" i="7"/>
  <c r="FW41" i="7"/>
  <c r="FW42" i="7"/>
  <c r="FW49" i="7"/>
  <c r="FW18" i="7"/>
  <c r="FW22" i="7"/>
  <c r="FW23" i="7"/>
  <c r="FW27" i="7"/>
  <c r="FW31" i="7"/>
  <c r="FW37" i="7"/>
  <c r="FW38" i="7"/>
  <c r="FW36" i="7"/>
  <c r="FW17" i="7"/>
  <c r="FW21" i="7"/>
  <c r="FW26" i="7"/>
  <c r="FW30" i="7"/>
  <c r="FW35" i="7"/>
  <c r="FW34" i="7"/>
  <c r="FW65" i="7"/>
  <c r="FW45" i="7"/>
  <c r="FW61" i="7"/>
  <c r="FU61" i="7"/>
  <c r="CK61" i="7"/>
  <c r="FU65" i="7"/>
  <c r="CK65" i="7"/>
  <c r="FU71" i="7"/>
  <c r="CK71" i="7"/>
  <c r="AD22" i="7"/>
  <c r="CT22" i="7" s="1"/>
  <c r="CU22" i="7" s="1"/>
  <c r="AD41" i="7"/>
  <c r="AF41" i="7" s="1"/>
  <c r="AD54" i="7"/>
  <c r="CT54" i="7" s="1"/>
  <c r="CU54" i="7" s="1"/>
  <c r="AD62" i="7"/>
  <c r="AF62" i="7" s="1"/>
  <c r="FU70" i="7"/>
  <c r="CK70" i="7"/>
  <c r="FU46" i="7"/>
  <c r="CK46" i="7"/>
  <c r="CK49" i="7"/>
  <c r="FU49" i="7"/>
  <c r="FU53" i="7"/>
  <c r="CK53" i="7"/>
  <c r="HP54" i="7"/>
  <c r="FU59" i="7"/>
  <c r="CK59" i="7"/>
  <c r="CK68" i="7"/>
  <c r="FU68" i="7"/>
  <c r="CK74" i="7"/>
  <c r="FU74" i="7"/>
  <c r="FU47" i="7"/>
  <c r="CK47" i="7"/>
  <c r="FU51" i="7"/>
  <c r="CK51" i="7"/>
  <c r="CK57" i="7"/>
  <c r="FU57" i="7"/>
  <c r="FU64" i="7"/>
  <c r="CK64" i="7"/>
  <c r="FW47" i="7"/>
  <c r="AP51" i="7"/>
  <c r="FW53" i="7"/>
  <c r="FU55" i="7"/>
  <c r="CK55" i="7"/>
  <c r="CK62" i="7"/>
  <c r="FU62" i="7"/>
  <c r="CK66" i="7"/>
  <c r="FU66" i="7"/>
  <c r="FU73" i="7"/>
  <c r="CK73" i="7"/>
  <c r="CK60" i="7"/>
  <c r="FU60" i="7"/>
  <c r="CK52" i="7"/>
  <c r="FU52" i="7"/>
  <c r="FU69" i="7"/>
  <c r="CK69" i="7"/>
  <c r="CK72" i="7"/>
  <c r="FU72" i="7"/>
  <c r="FU48" i="7"/>
  <c r="CK48" i="7"/>
  <c r="FU50" i="7"/>
  <c r="CK50" i="7"/>
  <c r="FU54" i="7"/>
  <c r="CK54" i="7"/>
  <c r="FU56" i="7"/>
  <c r="CK56" i="7"/>
  <c r="FU58" i="7"/>
  <c r="CK58" i="7"/>
  <c r="AP62" i="7"/>
  <c r="FU63" i="7"/>
  <c r="CK63" i="7"/>
  <c r="CK67" i="7"/>
  <c r="FU67" i="7"/>
  <c r="AD15" i="7"/>
  <c r="AD27" i="7"/>
  <c r="CT27" i="7" s="1"/>
  <c r="CU27" i="7" s="1"/>
  <c r="AD59" i="7"/>
  <c r="AF59" i="7" s="1"/>
  <c r="AD72" i="7"/>
  <c r="CT72" i="7" s="1"/>
  <c r="CU72" i="7" s="1"/>
  <c r="EV40" i="7"/>
  <c r="EV44" i="7"/>
  <c r="AD57" i="7"/>
  <c r="CT57" i="7" s="1"/>
  <c r="CU57" i="7" s="1"/>
  <c r="AD19" i="7"/>
  <c r="AD23" i="7"/>
  <c r="CT23" i="7" s="1"/>
  <c r="CU23" i="7" s="1"/>
  <c r="AD30" i="7"/>
  <c r="CT30" i="7" s="1"/>
  <c r="CU30" i="7" s="1"/>
  <c r="A297" i="2"/>
  <c r="A27" i="8" s="1"/>
  <c r="A298" i="2"/>
  <c r="A28" i="8" s="1"/>
  <c r="A295" i="2"/>
  <c r="C25" i="8" s="1"/>
  <c r="A296" i="2"/>
  <c r="A26" i="8" s="1"/>
  <c r="B15" i="8"/>
  <c r="AD16" i="7"/>
  <c r="AD26" i="7"/>
  <c r="CT26" i="7" s="1"/>
  <c r="CU26" i="7" s="1"/>
  <c r="AD53" i="7"/>
  <c r="CT53" i="7" s="1"/>
  <c r="CU53" i="7" s="1"/>
  <c r="A293" i="2"/>
  <c r="A294" i="2"/>
  <c r="A291" i="2"/>
  <c r="A292" i="2"/>
  <c r="A288" i="2"/>
  <c r="A287" i="2"/>
  <c r="AD17" i="7"/>
  <c r="AD25" i="7"/>
  <c r="AF25" i="7" s="1"/>
  <c r="AD33" i="7"/>
  <c r="AF33" i="7" s="1"/>
  <c r="AD46" i="7"/>
  <c r="CT46" i="7" s="1"/>
  <c r="CU46" i="7" s="1"/>
  <c r="AD21" i="7"/>
  <c r="AF21" i="7" s="1"/>
  <c r="AD24" i="7"/>
  <c r="AF24" i="7" s="1"/>
  <c r="AD32" i="7"/>
  <c r="AF32" i="7" s="1"/>
  <c r="AD37" i="7"/>
  <c r="AF37" i="7" s="1"/>
  <c r="A205" i="2"/>
  <c r="A4" i="10" s="1"/>
  <c r="A209" i="2"/>
  <c r="A8" i="10" s="1"/>
  <c r="E5" i="11"/>
  <c r="AG25" i="7"/>
  <c r="AK25" i="7" s="1"/>
  <c r="AL25" i="7" s="1"/>
  <c r="AM25" i="7" s="1"/>
  <c r="EE25" i="7"/>
  <c r="IC50" i="7"/>
  <c r="FP19" i="7"/>
  <c r="FQ19" i="7" s="1"/>
  <c r="AP59" i="7"/>
  <c r="FP20" i="7"/>
  <c r="FQ20" i="7" s="1"/>
  <c r="HN58" i="7"/>
  <c r="DD5" i="7"/>
  <c r="B60" i="8" s="1"/>
  <c r="AD61" i="7"/>
  <c r="CT61" i="7" s="1"/>
  <c r="CU61" i="7" s="1"/>
  <c r="AD28" i="7"/>
  <c r="AF28" i="7" s="1"/>
  <c r="AD31" i="7"/>
  <c r="CT31" i="7" s="1"/>
  <c r="CU31" i="7" s="1"/>
  <c r="AD55" i="7"/>
  <c r="AF55" i="7" s="1"/>
  <c r="AD63" i="7"/>
  <c r="AF63" i="7" s="1"/>
  <c r="AD35" i="7"/>
  <c r="AF35" i="7" s="1"/>
  <c r="AD67" i="7"/>
  <c r="CT67" i="7" s="1"/>
  <c r="CU67" i="7" s="1"/>
  <c r="AD18" i="7"/>
  <c r="AD40" i="7"/>
  <c r="AF40" i="7" s="1"/>
  <c r="AD58" i="7"/>
  <c r="CT58" i="7" s="1"/>
  <c r="CU58" i="7" s="1"/>
  <c r="EN63" i="7"/>
  <c r="EE63" i="7"/>
  <c r="AG63" i="7"/>
  <c r="AK63" i="7" s="1"/>
  <c r="AL63" i="7" s="1"/>
  <c r="AM63" i="7" s="1"/>
  <c r="AP58" i="7"/>
  <c r="IC58" i="7"/>
  <c r="ID73" i="7"/>
  <c r="HN49" i="7"/>
  <c r="AP53" i="7"/>
  <c r="EP58" i="7"/>
  <c r="FO58" i="7" s="1"/>
  <c r="FP58" i="7" s="1"/>
  <c r="FR58" i="7" s="1"/>
  <c r="HN63" i="7"/>
  <c r="IC66" i="7"/>
  <c r="EN25" i="7"/>
  <c r="AP55" i="7"/>
  <c r="AS68" i="7"/>
  <c r="AS71" i="7"/>
  <c r="AD66" i="7"/>
  <c r="CT66" i="7" s="1"/>
  <c r="CU66" i="7" s="1"/>
  <c r="EP25" i="7"/>
  <c r="FO25" i="7" s="1"/>
  <c r="FP25" i="7" s="1"/>
  <c r="EN45" i="7"/>
  <c r="HP49" i="7"/>
  <c r="HP63" i="7"/>
  <c r="HP66" i="7"/>
  <c r="AR5" i="7"/>
  <c r="B16" i="8" s="1"/>
  <c r="AW75" i="7" s="1"/>
  <c r="AW76" i="7" s="1"/>
  <c r="FP18" i="7"/>
  <c r="FQ18" i="7" s="1"/>
  <c r="EP50" i="7"/>
  <c r="FO50" i="7" s="1"/>
  <c r="FP50" i="7" s="1"/>
  <c r="FR50" i="7" s="1"/>
  <c r="AS54" i="7"/>
  <c r="HO54" i="7"/>
  <c r="AG50" i="7"/>
  <c r="AK50" i="7" s="1"/>
  <c r="AL50" i="7" s="1"/>
  <c r="AM50" i="7" s="1"/>
  <c r="AU50" i="7" s="1"/>
  <c r="HN51" i="7"/>
  <c r="AG41" i="7"/>
  <c r="AK41" i="7" s="1"/>
  <c r="AL41" i="7" s="1"/>
  <c r="AM41" i="7" s="1"/>
  <c r="AD34" i="7"/>
  <c r="CT34" i="7" s="1"/>
  <c r="CU34" i="7" s="1"/>
  <c r="AD36" i="7"/>
  <c r="AF36" i="7" s="1"/>
  <c r="AD50" i="7"/>
  <c r="CT50" i="7" s="1"/>
  <c r="CU50" i="7" s="1"/>
  <c r="AD71" i="7"/>
  <c r="CT71" i="7" s="1"/>
  <c r="CU71" i="7" s="1"/>
  <c r="AD73" i="7"/>
  <c r="AF73" i="7" s="1"/>
  <c r="AD20" i="7"/>
  <c r="AD38" i="7"/>
  <c r="AF38" i="7" s="1"/>
  <c r="AD47" i="7"/>
  <c r="CT47" i="7" s="1"/>
  <c r="CU47" i="7" s="1"/>
  <c r="AD70" i="7"/>
  <c r="CT70" i="7" s="1"/>
  <c r="CU70" i="7" s="1"/>
  <c r="AD43" i="7"/>
  <c r="CT43" i="7" s="1"/>
  <c r="CU43" i="7" s="1"/>
  <c r="AD69" i="7"/>
  <c r="AF69" i="7" s="1"/>
  <c r="AD39" i="7"/>
  <c r="AF39" i="7" s="1"/>
  <c r="AQ52" i="7"/>
  <c r="AD44" i="7"/>
  <c r="CT44" i="7" s="1"/>
  <c r="CU44" i="7" s="1"/>
  <c r="AD65" i="7"/>
  <c r="AF65" i="7" s="1"/>
  <c r="EP31" i="7"/>
  <c r="FO31" i="7" s="1"/>
  <c r="FP31" i="7" s="1"/>
  <c r="FQ31" i="7" s="1"/>
  <c r="AG31" i="7"/>
  <c r="AK31" i="7" s="1"/>
  <c r="AL31" i="7" s="1"/>
  <c r="AM31" i="7" s="1"/>
  <c r="EP24" i="7"/>
  <c r="FO24" i="7" s="1"/>
  <c r="FP24" i="7" s="1"/>
  <c r="FR24" i="7" s="1"/>
  <c r="AG24" i="7"/>
  <c r="AK24" i="7" s="1"/>
  <c r="AL24" i="7" s="1"/>
  <c r="AM24" i="7" s="1"/>
  <c r="EN24" i="7"/>
  <c r="EN21" i="7"/>
  <c r="AG21" i="7"/>
  <c r="AK21" i="7" s="1"/>
  <c r="AL21" i="7" s="1"/>
  <c r="AM21" i="7" s="1"/>
  <c r="EE21" i="7"/>
  <c r="EP21" i="7"/>
  <c r="FO21" i="7" s="1"/>
  <c r="FP21" i="7" s="1"/>
  <c r="FQ21" i="7" s="1"/>
  <c r="EP32" i="7"/>
  <c r="FO32" i="7" s="1"/>
  <c r="FP32" i="7" s="1"/>
  <c r="FQ32" i="7" s="1"/>
  <c r="EN32" i="7"/>
  <c r="AG32" i="7"/>
  <c r="AK32" i="7" s="1"/>
  <c r="AL32" i="7" s="1"/>
  <c r="AM32" i="7" s="1"/>
  <c r="EP46" i="7"/>
  <c r="FO46" i="7" s="1"/>
  <c r="FP46" i="7" s="1"/>
  <c r="AG46" i="7"/>
  <c r="AK46" i="7" s="1"/>
  <c r="AL46" i="7" s="1"/>
  <c r="AM46" i="7" s="1"/>
  <c r="HO46" i="7"/>
  <c r="HN46" i="7"/>
  <c r="EN17" i="7"/>
  <c r="GC17" i="7" s="1"/>
  <c r="EP17" i="7"/>
  <c r="FO17" i="7" s="1"/>
  <c r="FP17" i="7" s="1"/>
  <c r="FR17" i="7" s="1"/>
  <c r="FS17" i="7" s="1"/>
  <c r="EE17" i="7"/>
  <c r="EP29" i="7"/>
  <c r="FO29" i="7" s="1"/>
  <c r="FP29" i="7" s="1"/>
  <c r="FR29" i="7" s="1"/>
  <c r="AG29" i="7"/>
  <c r="AK29" i="7" s="1"/>
  <c r="AL29" i="7" s="1"/>
  <c r="AM29" i="7" s="1"/>
  <c r="EN29" i="7"/>
  <c r="EE29" i="7"/>
  <c r="EN57" i="7"/>
  <c r="AG57" i="7"/>
  <c r="AK57" i="7" s="1"/>
  <c r="AL57" i="7" s="1"/>
  <c r="AM57" i="7" s="1"/>
  <c r="AV238" i="3"/>
  <c r="EV17" i="7"/>
  <c r="EP28" i="7"/>
  <c r="FO28" i="7" s="1"/>
  <c r="FP28" i="7" s="1"/>
  <c r="FR28" i="7" s="1"/>
  <c r="AG28" i="7"/>
  <c r="AK28" i="7" s="1"/>
  <c r="AL28" i="7" s="1"/>
  <c r="AM28" i="7" s="1"/>
  <c r="EN40" i="7"/>
  <c r="GC40" i="7" s="1"/>
  <c r="AG40" i="7"/>
  <c r="AK40" i="7" s="1"/>
  <c r="AL40" i="7" s="1"/>
  <c r="AM40" i="7" s="1"/>
  <c r="HP47" i="7"/>
  <c r="EN51" i="7"/>
  <c r="EE51" i="7"/>
  <c r="AG51" i="7"/>
  <c r="AK51" i="7" s="1"/>
  <c r="AL51" i="7" s="1"/>
  <c r="AM51" i="7" s="1"/>
  <c r="AN51" i="7" s="1"/>
  <c r="EN55" i="7"/>
  <c r="AG55" i="7"/>
  <c r="AK55" i="7" s="1"/>
  <c r="AL55" i="7" s="1"/>
  <c r="AM55" i="7" s="1"/>
  <c r="HP57" i="7"/>
  <c r="AW174" i="3"/>
  <c r="AX174" i="3"/>
  <c r="AR173" i="3"/>
  <c r="AR174" i="3" s="1"/>
  <c r="FK5" i="7"/>
  <c r="B106" i="8" s="1"/>
  <c r="FL154" i="7" s="1"/>
  <c r="FM154" i="7" s="1"/>
  <c r="EV46" i="7"/>
  <c r="EP51" i="7"/>
  <c r="FO51" i="7" s="1"/>
  <c r="FP51" i="7" s="1"/>
  <c r="EP55" i="7"/>
  <c r="FO55" i="7" s="1"/>
  <c r="FP55" i="7" s="1"/>
  <c r="FR55" i="7" s="1"/>
  <c r="EN61" i="7"/>
  <c r="AG61" i="7"/>
  <c r="AK61" i="7" s="1"/>
  <c r="AL61" i="7" s="1"/>
  <c r="AM61" i="7" s="1"/>
  <c r="EN62" i="7"/>
  <c r="AG62" i="7"/>
  <c r="AK62" i="7" s="1"/>
  <c r="AL62" i="7" s="1"/>
  <c r="AM62" i="7" s="1"/>
  <c r="EP62" i="7"/>
  <c r="FO62" i="7" s="1"/>
  <c r="FP62" i="7" s="1"/>
  <c r="FR62" i="7" s="1"/>
  <c r="EE62" i="7"/>
  <c r="HO66" i="7"/>
  <c r="AU68" i="7"/>
  <c r="EV30" i="7"/>
  <c r="EP47" i="7"/>
  <c r="FO47" i="7" s="1"/>
  <c r="FP47" i="7" s="1"/>
  <c r="FR47" i="7" s="1"/>
  <c r="EE47" i="7"/>
  <c r="EW68" i="7"/>
  <c r="EZ68" i="7" s="1"/>
  <c r="HO68" i="7"/>
  <c r="AG72" i="7"/>
  <c r="AK72" i="7" s="1"/>
  <c r="AL72" i="7" s="1"/>
  <c r="AM72" i="7" s="1"/>
  <c r="I19" i="4"/>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6" i="4" s="1"/>
  <c r="I127" i="4" s="1"/>
  <c r="I128" i="4" s="1"/>
  <c r="I129" i="4" s="1"/>
  <c r="I130" i="4" s="1"/>
  <c r="I131" i="4" s="1"/>
  <c r="I132" i="4" s="1"/>
  <c r="I133" i="4" s="1"/>
  <c r="I134" i="4" s="1"/>
  <c r="I135" i="4" s="1"/>
  <c r="I136" i="4" s="1"/>
  <c r="I137" i="4" s="1"/>
  <c r="I138" i="4" s="1"/>
  <c r="I139" i="4" s="1"/>
  <c r="I140" i="4" s="1"/>
  <c r="I141" i="4" s="1"/>
  <c r="I142" i="4" s="1"/>
  <c r="I143" i="4" s="1"/>
  <c r="AP56" i="7"/>
  <c r="AS64" i="7"/>
  <c r="AU64" i="7"/>
  <c r="EN67" i="7"/>
  <c r="EE67" i="7"/>
  <c r="HN67" i="7"/>
  <c r="HP68" i="7"/>
  <c r="AD49" i="7"/>
  <c r="AF49" i="7" s="1"/>
  <c r="AS56" i="7"/>
  <c r="L25" i="3"/>
  <c r="EP23" i="7"/>
  <c r="FO23" i="7" s="1"/>
  <c r="FP23" i="7" s="1"/>
  <c r="FQ23" i="7" s="1"/>
  <c r="AG23" i="7"/>
  <c r="AK23" i="7" s="1"/>
  <c r="AL23" i="7" s="1"/>
  <c r="AM23" i="7" s="1"/>
  <c r="EN28" i="7"/>
  <c r="AG33" i="7"/>
  <c r="AK33" i="7" s="1"/>
  <c r="AL33" i="7" s="1"/>
  <c r="AM33" i="7" s="1"/>
  <c r="EE33" i="7"/>
  <c r="HP53" i="7"/>
  <c r="HN54" i="7"/>
  <c r="IC54" i="7"/>
  <c r="AG49" i="7"/>
  <c r="AK49" i="7" s="1"/>
  <c r="AL49" i="7" s="1"/>
  <c r="AM49" i="7" s="1"/>
  <c r="AG70" i="7"/>
  <c r="AK70" i="7" s="1"/>
  <c r="AL70" i="7" s="1"/>
  <c r="AM70" i="7" s="1"/>
  <c r="EP27" i="7"/>
  <c r="FO27" i="7" s="1"/>
  <c r="FP27" i="7" s="1"/>
  <c r="FQ27" i="7" s="1"/>
  <c r="AG27" i="7"/>
  <c r="AK27" i="7" s="1"/>
  <c r="AL27" i="7" s="1"/>
  <c r="AM27" i="7" s="1"/>
  <c r="EU41" i="7"/>
  <c r="EV41" i="7" s="1"/>
  <c r="ES41" i="7"/>
  <c r="EN43" i="7"/>
  <c r="EE43" i="7"/>
  <c r="EN44" i="7"/>
  <c r="GC44" i="7" s="1"/>
  <c r="IC51" i="7"/>
  <c r="HN62" i="7"/>
  <c r="IC62" i="7"/>
  <c r="AT64" i="7"/>
  <c r="AQ64" i="7"/>
  <c r="EN66" i="7"/>
  <c r="EP66" i="7"/>
  <c r="FO66" i="7" s="1"/>
  <c r="FP66" i="7" s="1"/>
  <c r="FR66" i="7" s="1"/>
  <c r="ID71" i="7"/>
  <c r="EV22" i="7"/>
  <c r="EV26" i="7"/>
  <c r="AG67" i="7"/>
  <c r="AK67" i="7" s="1"/>
  <c r="AL67" i="7" s="1"/>
  <c r="AM67" i="7" s="1"/>
  <c r="EP44" i="7"/>
  <c r="FO44" i="7" s="1"/>
  <c r="FP44" i="7" s="1"/>
  <c r="FR44" i="7" s="1"/>
  <c r="FS44" i="7" s="1"/>
  <c r="HN47" i="7"/>
  <c r="IC47" i="7"/>
  <c r="HP55" i="7"/>
  <c r="HN57" i="7"/>
  <c r="HO62" i="7"/>
  <c r="EP33" i="7"/>
  <c r="FO33" i="7" s="1"/>
  <c r="FP33" i="7" s="1"/>
  <c r="FQ33" i="7" s="1"/>
  <c r="HP46" i="7"/>
  <c r="EN54" i="7"/>
  <c r="EP54" i="7"/>
  <c r="FO54" i="7" s="1"/>
  <c r="FP54" i="7" s="1"/>
  <c r="FR54" i="7" s="1"/>
  <c r="AG54" i="7"/>
  <c r="AK54" i="7" s="1"/>
  <c r="AL54" i="7" s="1"/>
  <c r="AM54" i="7" s="1"/>
  <c r="EE54" i="7"/>
  <c r="EE55" i="7"/>
  <c r="AP60" i="7"/>
  <c r="HP62" i="7"/>
  <c r="HO63" i="7"/>
  <c r="EW63" i="7"/>
  <c r="EZ63" i="7" s="1"/>
  <c r="AD51" i="7"/>
  <c r="CT51" i="7" s="1"/>
  <c r="CU51" i="7" s="1"/>
  <c r="AG66" i="7"/>
  <c r="AK66" i="7" s="1"/>
  <c r="AL66" i="7" s="1"/>
  <c r="AM66" i="7" s="1"/>
  <c r="AP69" i="7"/>
  <c r="IC67" i="7"/>
  <c r="ID70" i="7"/>
  <c r="ES46" i="7"/>
  <c r="AP50" i="7"/>
  <c r="HN50" i="7"/>
  <c r="HO51" i="7"/>
  <c r="HO58" i="7"/>
  <c r="EP63" i="7"/>
  <c r="FO63" i="7" s="1"/>
  <c r="FP63" i="7" s="1"/>
  <c r="HO67" i="7"/>
  <c r="AD29" i="7"/>
  <c r="CT29" i="7" s="1"/>
  <c r="CU29" i="7" s="1"/>
  <c r="AG73" i="7"/>
  <c r="AK73" i="7" s="1"/>
  <c r="AL73" i="7" s="1"/>
  <c r="AM73" i="7" s="1"/>
  <c r="AT73" i="7" s="1"/>
  <c r="HO50" i="7"/>
  <c r="HP51" i="7"/>
  <c r="AS52" i="7"/>
  <c r="AP57" i="7"/>
  <c r="HP58" i="7"/>
  <c r="AS60" i="7"/>
  <c r="HN61" i="7"/>
  <c r="HP65" i="7"/>
  <c r="HP67" i="7"/>
  <c r="IC72" i="7"/>
  <c r="HP50" i="7"/>
  <c r="IC55" i="7"/>
  <c r="HN55" i="7"/>
  <c r="EE58" i="7"/>
  <c r="AP61" i="7"/>
  <c r="DF5" i="7"/>
  <c r="B62" i="8" s="1"/>
  <c r="AP71" i="7"/>
  <c r="IC69" i="7"/>
  <c r="CZ68" i="7"/>
  <c r="E17" i="11"/>
  <c r="AG58" i="7"/>
  <c r="AK58" i="7" s="1"/>
  <c r="AL58" i="7" s="1"/>
  <c r="AM58" i="7" s="1"/>
  <c r="EE50" i="7"/>
  <c r="HO55" i="7"/>
  <c r="IC59" i="7"/>
  <c r="HP61" i="7"/>
  <c r="IC63" i="7"/>
  <c r="AP68" i="7"/>
  <c r="HN66" i="7"/>
  <c r="AS67" i="7"/>
  <c r="HO69" i="7"/>
  <c r="DE5" i="7"/>
  <c r="B61" i="8" s="1"/>
  <c r="AP70" i="7"/>
  <c r="ID72" i="7"/>
  <c r="AD48" i="7"/>
  <c r="AF48" i="7" s="1"/>
  <c r="E14" i="11"/>
  <c r="E16" i="11"/>
  <c r="E15" i="11"/>
  <c r="L95" i="7"/>
  <c r="L94" i="7"/>
  <c r="A290" i="2"/>
  <c r="A25" i="11" s="1"/>
  <c r="A285" i="2"/>
  <c r="A281" i="2"/>
  <c r="A277" i="2"/>
  <c r="A86" i="8" s="1"/>
  <c r="A273" i="2"/>
  <c r="A269" i="2"/>
  <c r="B117" i="8" s="1"/>
  <c r="A265" i="2"/>
  <c r="A261" i="2"/>
  <c r="A257" i="2"/>
  <c r="A57" i="8" s="1"/>
  <c r="A253" i="2"/>
  <c r="A21" i="1" s="1"/>
  <c r="A249" i="2"/>
  <c r="A8" i="1" s="1"/>
  <c r="A245" i="2"/>
  <c r="P11" i="9" s="1"/>
  <c r="A241" i="2"/>
  <c r="P6" i="9" s="1"/>
  <c r="A237" i="2"/>
  <c r="A12" i="9" s="1"/>
  <c r="A233" i="2"/>
  <c r="A8" i="9" s="1"/>
  <c r="A229" i="2"/>
  <c r="A4" i="9" s="1"/>
  <c r="A225" i="2"/>
  <c r="A1" i="9" s="1"/>
  <c r="A221" i="2"/>
  <c r="A20" i="10" s="1"/>
  <c r="A210" i="2"/>
  <c r="A213" i="2"/>
  <c r="A12" i="10" s="1"/>
  <c r="A201" i="2"/>
  <c r="A198" i="2"/>
  <c r="A194" i="2"/>
  <c r="B125" i="8" s="1"/>
  <c r="A189" i="2"/>
  <c r="A185" i="2"/>
  <c r="A181" i="2"/>
  <c r="A177" i="2"/>
  <c r="A173" i="2"/>
  <c r="A16" i="11" s="1"/>
  <c r="A169" i="2"/>
  <c r="A72" i="8" s="1"/>
  <c r="A165" i="2"/>
  <c r="A161" i="2"/>
  <c r="A104" i="8" s="1"/>
  <c r="A157" i="2"/>
  <c r="A101" i="8" s="1"/>
  <c r="A153" i="2"/>
  <c r="A149" i="2"/>
  <c r="A94" i="8" s="1"/>
  <c r="A143" i="2"/>
  <c r="A139" i="2"/>
  <c r="A135" i="2"/>
  <c r="A121" i="8" s="1"/>
  <c r="A131" i="2"/>
  <c r="A127" i="2"/>
  <c r="A123" i="2"/>
  <c r="A59" i="8" s="1"/>
  <c r="A119" i="2"/>
  <c r="A21" i="11" s="1"/>
  <c r="A115" i="2"/>
  <c r="A18" i="11" s="1"/>
  <c r="A111" i="2"/>
  <c r="A107" i="2"/>
  <c r="A103" i="2"/>
  <c r="A11" i="11" s="1"/>
  <c r="A99" i="2"/>
  <c r="A92" i="8" s="1"/>
  <c r="A95" i="2"/>
  <c r="A61" i="8" s="1"/>
  <c r="A91" i="2"/>
  <c r="A87" i="2"/>
  <c r="A53" i="8" s="1"/>
  <c r="A83" i="2"/>
  <c r="CD2" i="7" s="1"/>
  <c r="A79" i="2"/>
  <c r="CH2" i="7" s="1"/>
  <c r="A75" i="2"/>
  <c r="CL2" i="7" s="1"/>
  <c r="A71" i="2"/>
  <c r="A67" i="2"/>
  <c r="A63" i="2"/>
  <c r="A59" i="2"/>
  <c r="A55" i="2"/>
  <c r="A34" i="8" s="1"/>
  <c r="A50" i="2"/>
  <c r="A45" i="2"/>
  <c r="A19" i="8" s="1"/>
  <c r="A41" i="2"/>
  <c r="A37" i="2"/>
  <c r="A33" i="2"/>
  <c r="A29" i="2"/>
  <c r="A4" i="11" s="1"/>
  <c r="A25" i="2"/>
  <c r="A8" i="8" s="1"/>
  <c r="A21" i="2"/>
  <c r="A17" i="2"/>
  <c r="A13" i="2"/>
  <c r="B2" i="8" s="1"/>
  <c r="A8" i="2"/>
  <c r="A3" i="11" s="1"/>
  <c r="A4" i="2"/>
  <c r="A1" i="11" s="1"/>
  <c r="A289" i="2"/>
  <c r="A32" i="8" s="1"/>
  <c r="A284" i="2"/>
  <c r="A6" i="8" s="1"/>
  <c r="A280" i="2"/>
  <c r="A276" i="2"/>
  <c r="B119" i="8" s="1"/>
  <c r="A272" i="2"/>
  <c r="A29" i="10" s="1"/>
  <c r="A268" i="2"/>
  <c r="A264" i="2"/>
  <c r="A260" i="2"/>
  <c r="A256" i="2"/>
  <c r="A17" i="11" s="1"/>
  <c r="A252" i="2"/>
  <c r="A248" i="2"/>
  <c r="A5" i="1" s="1"/>
  <c r="A244" i="2"/>
  <c r="P10" i="9" s="1"/>
  <c r="A240" i="2"/>
  <c r="P5" i="9" s="1"/>
  <c r="A236" i="2"/>
  <c r="A11" i="9" s="1"/>
  <c r="A232" i="2"/>
  <c r="A7" i="9" s="1"/>
  <c r="A228" i="2"/>
  <c r="A3" i="9" s="1"/>
  <c r="A224" i="2"/>
  <c r="B128" i="8" s="1"/>
  <c r="A220" i="2"/>
  <c r="A19" i="10" s="1"/>
  <c r="A217" i="2"/>
  <c r="A16" i="10" s="1"/>
  <c r="A212" i="2"/>
  <c r="A11" i="10" s="1"/>
  <c r="A208" i="2"/>
  <c r="A7" i="10" s="1"/>
  <c r="A204" i="2"/>
  <c r="A3" i="10" s="1"/>
  <c r="A200" i="2"/>
  <c r="A197" i="2"/>
  <c r="A193" i="2"/>
  <c r="A188" i="2"/>
  <c r="A184" i="2"/>
  <c r="A180" i="2"/>
  <c r="A176" i="2"/>
  <c r="A172" i="2"/>
  <c r="A15" i="11" s="1"/>
  <c r="A168" i="2"/>
  <c r="A71" i="8" s="1"/>
  <c r="A164" i="2"/>
  <c r="A106" i="8" s="1"/>
  <c r="A160" i="2"/>
  <c r="A103" i="8" s="1"/>
  <c r="A156" i="2"/>
  <c r="A100" i="8" s="1"/>
  <c r="A152" i="2"/>
  <c r="A97" i="8" s="1"/>
  <c r="A148" i="2"/>
  <c r="A142" i="2"/>
  <c r="A66" i="8" s="1"/>
  <c r="A138" i="2"/>
  <c r="A134" i="2"/>
  <c r="A130" i="2"/>
  <c r="A107" i="8" s="1"/>
  <c r="A126" i="2"/>
  <c r="A122" i="2"/>
  <c r="A51" i="8" s="1"/>
  <c r="A118" i="2"/>
  <c r="A114" i="2"/>
  <c r="A110" i="2"/>
  <c r="A106" i="2"/>
  <c r="A102" i="2"/>
  <c r="A98" i="2"/>
  <c r="A91" i="8" s="1"/>
  <c r="A94" i="2"/>
  <c r="A60" i="8" s="1"/>
  <c r="A90" i="2"/>
  <c r="A56" i="8" s="1"/>
  <c r="A86" i="2"/>
  <c r="A52" i="8" s="1"/>
  <c r="A82" i="2"/>
  <c r="CE2" i="7" s="1"/>
  <c r="A78" i="2"/>
  <c r="CI2" i="7" s="1"/>
  <c r="A74" i="2"/>
  <c r="CM2" i="7" s="1"/>
  <c r="A70" i="2"/>
  <c r="A42" i="8" s="1"/>
  <c r="A66" i="2"/>
  <c r="A40" i="8" s="1"/>
  <c r="A62" i="2"/>
  <c r="A58" i="2"/>
  <c r="A23" i="11" s="1"/>
  <c r="A53" i="2"/>
  <c r="A48" i="2"/>
  <c r="A44" i="2"/>
  <c r="A18" i="8" s="1"/>
  <c r="A40" i="2"/>
  <c r="A36" i="2"/>
  <c r="A15" i="8" s="1"/>
  <c r="A32" i="2"/>
  <c r="A12" i="8" s="1"/>
  <c r="A28" i="2"/>
  <c r="A24" i="2"/>
  <c r="A20" i="2"/>
  <c r="A16" i="2"/>
  <c r="D4" i="8" s="1"/>
  <c r="A12" i="2"/>
  <c r="B1" i="8" s="1"/>
  <c r="A7" i="2"/>
  <c r="A1" i="8" s="1"/>
  <c r="A283" i="2"/>
  <c r="A7" i="8" s="1"/>
  <c r="A279" i="2"/>
  <c r="A13" i="9" s="1"/>
  <c r="A275" i="2"/>
  <c r="A271" i="2"/>
  <c r="A28" i="10" s="1"/>
  <c r="A267" i="2"/>
  <c r="A263" i="2"/>
  <c r="A259" i="2"/>
  <c r="A255" i="2"/>
  <c r="B21" i="1" s="1"/>
  <c r="A251" i="2"/>
  <c r="A16" i="1" s="1"/>
  <c r="A247" i="2"/>
  <c r="A2" i="1" s="1"/>
  <c r="A243" i="2"/>
  <c r="P8" i="9" s="1"/>
  <c r="A239" i="2"/>
  <c r="P4" i="9" s="1"/>
  <c r="A235" i="2"/>
  <c r="A10" i="9" s="1"/>
  <c r="A231" i="2"/>
  <c r="A6" i="9" s="1"/>
  <c r="A227" i="2"/>
  <c r="P1" i="9" s="1"/>
  <c r="A223" i="2"/>
  <c r="B127" i="8" s="1"/>
  <c r="A219" i="2"/>
  <c r="A18" i="10" s="1"/>
  <c r="A216" i="2"/>
  <c r="A15" i="10" s="1"/>
  <c r="A207" i="2"/>
  <c r="A6" i="10" s="1"/>
  <c r="A203" i="2"/>
  <c r="A2" i="10" s="1"/>
  <c r="A199" i="2"/>
  <c r="A196" i="2"/>
  <c r="B126" i="8" s="1"/>
  <c r="A191" i="2"/>
  <c r="A187" i="2"/>
  <c r="A183" i="2"/>
  <c r="A179" i="2"/>
  <c r="A175" i="2"/>
  <c r="A171" i="2"/>
  <c r="A14" i="11" s="1"/>
  <c r="A167" i="2"/>
  <c r="A70" i="8" s="1"/>
  <c r="A163" i="2"/>
  <c r="A159" i="2"/>
  <c r="A102" i="8" s="1"/>
  <c r="A155" i="2"/>
  <c r="A99" i="8" s="1"/>
  <c r="A151" i="2"/>
  <c r="A96" i="8" s="1"/>
  <c r="A146" i="2"/>
  <c r="A12" i="11" s="1"/>
  <c r="A141" i="2"/>
  <c r="A65" i="8" s="1"/>
  <c r="A137" i="2"/>
  <c r="A63" i="8" s="1"/>
  <c r="A133" i="2"/>
  <c r="A129" i="2"/>
  <c r="A122" i="8" s="1"/>
  <c r="A125" i="2"/>
  <c r="A121" i="2"/>
  <c r="A117" i="2"/>
  <c r="A24" i="11" s="1"/>
  <c r="A113" i="2"/>
  <c r="A109" i="2"/>
  <c r="A105" i="2"/>
  <c r="A101" i="2"/>
  <c r="A97" i="2"/>
  <c r="A90" i="8" s="1"/>
  <c r="A93" i="2"/>
  <c r="A22" i="8" s="1"/>
  <c r="A89" i="2"/>
  <c r="A55" i="8" s="1"/>
  <c r="A85" i="2"/>
  <c r="A81" i="2"/>
  <c r="CF2" i="7" s="1"/>
  <c r="A77" i="2"/>
  <c r="CJ2" i="7" s="1"/>
  <c r="A73" i="2"/>
  <c r="CN2" i="7" s="1"/>
  <c r="A69" i="2"/>
  <c r="A65" i="2"/>
  <c r="A39" i="8" s="1"/>
  <c r="A61" i="2"/>
  <c r="A8" i="11" s="1"/>
  <c r="A57" i="2"/>
  <c r="A37" i="8" s="1"/>
  <c r="A52" i="2"/>
  <c r="A6" i="11" s="1"/>
  <c r="A47" i="2"/>
  <c r="A21" i="8" s="1"/>
  <c r="A43" i="2"/>
  <c r="A17" i="8" s="1"/>
  <c r="A39" i="2"/>
  <c r="A35" i="2"/>
  <c r="A14" i="8" s="1"/>
  <c r="A31" i="2"/>
  <c r="A11" i="8" s="1"/>
  <c r="A27" i="2"/>
  <c r="A23" i="2"/>
  <c r="A19" i="2"/>
  <c r="A15" i="2"/>
  <c r="A4" i="8" s="1"/>
  <c r="A11" i="2"/>
  <c r="E2" i="11" s="1"/>
  <c r="A6" i="2"/>
  <c r="A2" i="11" s="1"/>
  <c r="A286" i="2"/>
  <c r="A270" i="2"/>
  <c r="A254" i="2"/>
  <c r="B13" i="1" s="1"/>
  <c r="A238" i="2"/>
  <c r="P3" i="9" s="1"/>
  <c r="A222" i="2"/>
  <c r="A23" i="10" s="1"/>
  <c r="A206" i="2"/>
  <c r="A5" i="10" s="1"/>
  <c r="A190" i="2"/>
  <c r="A174" i="2"/>
  <c r="A158" i="2"/>
  <c r="A140" i="2"/>
  <c r="A64" i="8" s="1"/>
  <c r="A124" i="2"/>
  <c r="A89" i="8" s="1"/>
  <c r="A108" i="2"/>
  <c r="A92" i="2"/>
  <c r="A76" i="2"/>
  <c r="CK2" i="7" s="1"/>
  <c r="A60" i="2"/>
  <c r="C27" i="8" s="1"/>
  <c r="A42" i="2"/>
  <c r="A16" i="8" s="1"/>
  <c r="A26" i="2"/>
  <c r="A9" i="8" s="1"/>
  <c r="A10" i="2"/>
  <c r="D2" i="11" s="1"/>
  <c r="A282" i="2"/>
  <c r="A5" i="8" s="1"/>
  <c r="A266" i="2"/>
  <c r="A250" i="2"/>
  <c r="A11" i="1" s="1"/>
  <c r="A234" i="2"/>
  <c r="A9" i="9" s="1"/>
  <c r="A218" i="2"/>
  <c r="A17" i="10" s="1"/>
  <c r="A202" i="2"/>
  <c r="A1" i="10" s="1"/>
  <c r="A186" i="2"/>
  <c r="A74" i="8" s="1"/>
  <c r="A170" i="2"/>
  <c r="A73" i="8" s="1"/>
  <c r="A154" i="2"/>
  <c r="A98" i="8" s="1"/>
  <c r="A136" i="2"/>
  <c r="A133" i="8" s="1"/>
  <c r="A120" i="2"/>
  <c r="A104" i="2"/>
  <c r="A88" i="2"/>
  <c r="A54" i="8" s="1"/>
  <c r="A72" i="2"/>
  <c r="CO2" i="7" s="1"/>
  <c r="A56" i="2"/>
  <c r="A36" i="8" s="1"/>
  <c r="A38" i="2"/>
  <c r="A22" i="2"/>
  <c r="A5" i="2"/>
  <c r="G2" i="11" s="1"/>
  <c r="A278" i="2"/>
  <c r="A18" i="1" s="1"/>
  <c r="A262" i="2"/>
  <c r="D1" i="11" s="1"/>
  <c r="A246" i="2"/>
  <c r="A1" i="1" s="1"/>
  <c r="A230" i="2"/>
  <c r="A5" i="9" s="1"/>
  <c r="A215" i="2"/>
  <c r="A14" i="10" s="1"/>
  <c r="A182" i="2"/>
  <c r="A166" i="2"/>
  <c r="A69" i="8" s="1"/>
  <c r="A150" i="2"/>
  <c r="A95" i="8" s="1"/>
  <c r="A132" i="2"/>
  <c r="A116" i="2"/>
  <c r="A19" i="11" s="1"/>
  <c r="A100" i="2"/>
  <c r="A84" i="2"/>
  <c r="A68" i="2"/>
  <c r="A43" i="8" s="1"/>
  <c r="A51" i="2"/>
  <c r="A33" i="8" s="1"/>
  <c r="A34" i="2"/>
  <c r="A18" i="2"/>
  <c r="B124" i="8" s="1"/>
  <c r="A274" i="2"/>
  <c r="A211" i="2"/>
  <c r="A10" i="10" s="1"/>
  <c r="A144" i="2"/>
  <c r="A67" i="8" s="1"/>
  <c r="A80" i="2"/>
  <c r="CG2" i="7" s="1"/>
  <c r="A14" i="2"/>
  <c r="A3" i="8" s="1"/>
  <c r="A258" i="2"/>
  <c r="A58" i="8" s="1"/>
  <c r="A195" i="2"/>
  <c r="A128" i="2"/>
  <c r="A64" i="2"/>
  <c r="A38" i="8" s="1"/>
  <c r="A242" i="2"/>
  <c r="A178" i="2"/>
  <c r="A112" i="2"/>
  <c r="A46" i="2"/>
  <c r="A20" i="8" s="1"/>
  <c r="A226" i="2"/>
  <c r="B1" i="9" s="1"/>
  <c r="A162" i="2"/>
  <c r="A105" i="8" s="1"/>
  <c r="A96" i="2"/>
  <c r="A62" i="8" s="1"/>
  <c r="A30" i="2"/>
  <c r="A10" i="8" s="1"/>
  <c r="AT68" i="7"/>
  <c r="L156" i="7"/>
  <c r="F19" i="11" s="1"/>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4" i="7"/>
  <c r="L120" i="7"/>
  <c r="L123" i="7"/>
  <c r="L119" i="7"/>
  <c r="L115" i="7"/>
  <c r="L114" i="7"/>
  <c r="L113" i="7"/>
  <c r="L112" i="7"/>
  <c r="L122" i="7"/>
  <c r="L118" i="7"/>
  <c r="L116" i="7"/>
  <c r="L111" i="7"/>
  <c r="L107" i="7"/>
  <c r="L103" i="7"/>
  <c r="L99" i="7"/>
  <c r="L108" i="7"/>
  <c r="L104" i="7"/>
  <c r="L100" i="7"/>
  <c r="L96" i="7"/>
  <c r="L125" i="7"/>
  <c r="L121" i="7"/>
  <c r="L117" i="7"/>
  <c r="L109" i="7"/>
  <c r="L105" i="7"/>
  <c r="L101" i="7"/>
  <c r="L92" i="7"/>
  <c r="L88" i="7"/>
  <c r="L84" i="7"/>
  <c r="L83" i="7"/>
  <c r="L82" i="7"/>
  <c r="L81" i="7"/>
  <c r="L80" i="7"/>
  <c r="L79" i="7"/>
  <c r="L78" i="7"/>
  <c r="L77" i="7"/>
  <c r="L93" i="7"/>
  <c r="L89" i="7"/>
  <c r="L85" i="7"/>
  <c r="L110" i="7"/>
  <c r="L102" i="7"/>
  <c r="L97" i="7"/>
  <c r="L91" i="7"/>
  <c r="L87" i="7"/>
  <c r="L106" i="7"/>
  <c r="L98" i="7"/>
  <c r="L90" i="7"/>
  <c r="L86" i="7"/>
  <c r="AU52" i="7"/>
  <c r="AT59" i="7"/>
  <c r="AQ59" i="7"/>
  <c r="AL56" i="7"/>
  <c r="AM56" i="7" s="1"/>
  <c r="AN56" i="7" s="1"/>
  <c r="AL60" i="7"/>
  <c r="AM60" i="7" s="1"/>
  <c r="AN60" i="7" s="1"/>
  <c r="ES23" i="7"/>
  <c r="EU23" i="7"/>
  <c r="EN38" i="7"/>
  <c r="EE38" i="7"/>
  <c r="EP38" i="7"/>
  <c r="FO38" i="7" s="1"/>
  <c r="FP38" i="7" s="1"/>
  <c r="EU21" i="7"/>
  <c r="EV21" i="7" s="1"/>
  <c r="ES21" i="7"/>
  <c r="EP30" i="7"/>
  <c r="FO30" i="7" s="1"/>
  <c r="FP30" i="7" s="1"/>
  <c r="EE30" i="7"/>
  <c r="EN30" i="7"/>
  <c r="GC30" i="7" s="1"/>
  <c r="ES32" i="7"/>
  <c r="EU32" i="7"/>
  <c r="EU33" i="7"/>
  <c r="EV33" i="7" s="1"/>
  <c r="ES33" i="7"/>
  <c r="AL34" i="7"/>
  <c r="AM34" i="7" s="1"/>
  <c r="EU36" i="7"/>
  <c r="ES36" i="7"/>
  <c r="EN37" i="7"/>
  <c r="EP37" i="7"/>
  <c r="FO37" i="7" s="1"/>
  <c r="FP37" i="7" s="1"/>
  <c r="EE37" i="7"/>
  <c r="AL38" i="7"/>
  <c r="AM38" i="7" s="1"/>
  <c r="EN34" i="7"/>
  <c r="EP34" i="7"/>
  <c r="FO34" i="7" s="1"/>
  <c r="FP34" i="7" s="1"/>
  <c r="EE34" i="7"/>
  <c r="EU37" i="7"/>
  <c r="EV37" i="7" s="1"/>
  <c r="ES37" i="7"/>
  <c r="EU42" i="7"/>
  <c r="ES42" i="7"/>
  <c r="EP26" i="7"/>
  <c r="FO26" i="7" s="1"/>
  <c r="FP26" i="7" s="1"/>
  <c r="EE26" i="7"/>
  <c r="EN26" i="7"/>
  <c r="GC26" i="7" s="1"/>
  <c r="ES28" i="7"/>
  <c r="EU28" i="7"/>
  <c r="EU29" i="7"/>
  <c r="ES29" i="7"/>
  <c r="ES31" i="7"/>
  <c r="EU31" i="7"/>
  <c r="EU35" i="7"/>
  <c r="ES35" i="7"/>
  <c r="EN36" i="7"/>
  <c r="EE36" i="7"/>
  <c r="EP36" i="7"/>
  <c r="FO36" i="7" s="1"/>
  <c r="FP36" i="7" s="1"/>
  <c r="ES18" i="7"/>
  <c r="EU18" i="7"/>
  <c r="EV18" i="7" s="1"/>
  <c r="EU19" i="7"/>
  <c r="ES19" i="7"/>
  <c r="ES20" i="7"/>
  <c r="EU20" i="7"/>
  <c r="EP22" i="7"/>
  <c r="FO22" i="7" s="1"/>
  <c r="FP22" i="7" s="1"/>
  <c r="EE22" i="7"/>
  <c r="EN22" i="7"/>
  <c r="GC22" i="7" s="1"/>
  <c r="ES24" i="7"/>
  <c r="EU24" i="7"/>
  <c r="EU25" i="7"/>
  <c r="ES25" i="7"/>
  <c r="EU27" i="7"/>
  <c r="ES27" i="7"/>
  <c r="EU34" i="7"/>
  <c r="ES34" i="7"/>
  <c r="EN35" i="7"/>
  <c r="EP35" i="7"/>
  <c r="FO35" i="7" s="1"/>
  <c r="FP35" i="7" s="1"/>
  <c r="EE35" i="7"/>
  <c r="EU38" i="7"/>
  <c r="ES38" i="7"/>
  <c r="EN39" i="7"/>
  <c r="EP39" i="7"/>
  <c r="FO39" i="7" s="1"/>
  <c r="FP39" i="7" s="1"/>
  <c r="EE39" i="7"/>
  <c r="EP53" i="7"/>
  <c r="FO53" i="7" s="1"/>
  <c r="FP53" i="7" s="1"/>
  <c r="EE53" i="7"/>
  <c r="HN56" i="7"/>
  <c r="EN18" i="7"/>
  <c r="EN19" i="7"/>
  <c r="EN20" i="7"/>
  <c r="ES22" i="7"/>
  <c r="EN23" i="7"/>
  <c r="EE24" i="7"/>
  <c r="ES26" i="7"/>
  <c r="EN27" i="7"/>
  <c r="EE28" i="7"/>
  <c r="ES30" i="7"/>
  <c r="EN31" i="7"/>
  <c r="EE32" i="7"/>
  <c r="EP40" i="7"/>
  <c r="FO40" i="7" s="1"/>
  <c r="FP40" i="7" s="1"/>
  <c r="EE44" i="7"/>
  <c r="ES44" i="7"/>
  <c r="ES45" i="7"/>
  <c r="IC46" i="7"/>
  <c r="AP49" i="7"/>
  <c r="HO47" i="7"/>
  <c r="EN47" i="7"/>
  <c r="AS48" i="7"/>
  <c r="AL48" i="7"/>
  <c r="AM48" i="7" s="1"/>
  <c r="AN48" i="7" s="1"/>
  <c r="HN48" i="7"/>
  <c r="HO48" i="7"/>
  <c r="HO49" i="7"/>
  <c r="AP52" i="7"/>
  <c r="AD52" i="7"/>
  <c r="AP54" i="7"/>
  <c r="HP52" i="7"/>
  <c r="HN53" i="7"/>
  <c r="AS55" i="7"/>
  <c r="HO56" i="7"/>
  <c r="HO57" i="7"/>
  <c r="HO59" i="7"/>
  <c r="HO60" i="7"/>
  <c r="HO61" i="7"/>
  <c r="AP64" i="7"/>
  <c r="AD64" i="7"/>
  <c r="AP66" i="7"/>
  <c r="HP64" i="7"/>
  <c r="HN65" i="7"/>
  <c r="AS66" i="7"/>
  <c r="AP67" i="7"/>
  <c r="ER67" i="7"/>
  <c r="EP68" i="7"/>
  <c r="FO68" i="7" s="1"/>
  <c r="FP68" i="7" s="1"/>
  <c r="EE68" i="7"/>
  <c r="EN68" i="7"/>
  <c r="HN68" i="7"/>
  <c r="IC71" i="7"/>
  <c r="IB73" i="7"/>
  <c r="AD74" i="7"/>
  <c r="EP41" i="7"/>
  <c r="FO41" i="7" s="1"/>
  <c r="FP41" i="7" s="1"/>
  <c r="EE41" i="7"/>
  <c r="EP48" i="7"/>
  <c r="FO48" i="7" s="1"/>
  <c r="FP48" i="7" s="1"/>
  <c r="EE48" i="7"/>
  <c r="EN48" i="7"/>
  <c r="AS51" i="7"/>
  <c r="EP56" i="7"/>
  <c r="FO56" i="7" s="1"/>
  <c r="FP56" i="7" s="1"/>
  <c r="EE56" i="7"/>
  <c r="EN56" i="7"/>
  <c r="HN60" i="7"/>
  <c r="AS63" i="7"/>
  <c r="EP65" i="7"/>
  <c r="FO65" i="7" s="1"/>
  <c r="FP65" i="7" s="1"/>
  <c r="EE65" i="7"/>
  <c r="AO5" i="7"/>
  <c r="B19" i="8" s="1"/>
  <c r="EE18" i="7"/>
  <c r="EE19" i="7"/>
  <c r="EE20" i="7"/>
  <c r="EE23" i="7"/>
  <c r="EE27" i="7"/>
  <c r="EE31" i="7"/>
  <c r="EE40" i="7"/>
  <c r="ES40" i="7"/>
  <c r="EP42" i="7"/>
  <c r="FO42" i="7" s="1"/>
  <c r="FP42" i="7" s="1"/>
  <c r="EE42" i="7"/>
  <c r="EN42" i="7"/>
  <c r="AL43" i="7"/>
  <c r="AM43" i="7" s="1"/>
  <c r="EP43" i="7"/>
  <c r="FO43" i="7" s="1"/>
  <c r="FP43" i="7" s="1"/>
  <c r="EU45" i="7"/>
  <c r="HO52" i="7"/>
  <c r="AL53" i="7"/>
  <c r="AM53" i="7" s="1"/>
  <c r="HO53" i="7"/>
  <c r="EN53" i="7"/>
  <c r="AD56" i="7"/>
  <c r="HP56" i="7"/>
  <c r="EP59" i="7"/>
  <c r="FO59" i="7" s="1"/>
  <c r="FP59" i="7" s="1"/>
  <c r="EE59" i="7"/>
  <c r="EN59" i="7"/>
  <c r="HP59" i="7"/>
  <c r="AD60" i="7"/>
  <c r="HP60" i="7"/>
  <c r="AP65" i="7"/>
  <c r="HO64" i="7"/>
  <c r="AL65" i="7"/>
  <c r="AM65" i="7" s="1"/>
  <c r="HO65" i="7"/>
  <c r="EN65" i="7"/>
  <c r="HP69" i="7"/>
  <c r="EP69" i="7"/>
  <c r="FO69" i="7" s="1"/>
  <c r="FP69" i="7" s="1"/>
  <c r="EE69" i="7"/>
  <c r="EN69" i="7"/>
  <c r="FW69" i="7"/>
  <c r="FW66" i="7"/>
  <c r="FW62" i="7"/>
  <c r="FW58" i="7"/>
  <c r="FW54" i="7"/>
  <c r="FW50" i="7"/>
  <c r="FW67" i="7"/>
  <c r="FW63" i="7"/>
  <c r="FW59" i="7"/>
  <c r="FW55" i="7"/>
  <c r="FW51" i="7"/>
  <c r="FW44" i="7"/>
  <c r="FW40" i="7"/>
  <c r="HN69" i="7"/>
  <c r="FW68" i="7"/>
  <c r="FW64" i="7"/>
  <c r="FW60" i="7"/>
  <c r="FW56" i="7"/>
  <c r="FW52" i="7"/>
  <c r="FW48" i="7"/>
  <c r="FW46" i="7"/>
  <c r="FW43" i="7"/>
  <c r="FW39" i="7"/>
  <c r="ER69" i="7"/>
  <c r="AP72" i="7"/>
  <c r="IB72" i="7"/>
  <c r="IC73" i="7"/>
  <c r="EU39" i="7"/>
  <c r="ES39" i="7"/>
  <c r="AQ47" i="7"/>
  <c r="AT47" i="7"/>
  <c r="EU55" i="7"/>
  <c r="ER59" i="7"/>
  <c r="EP60" i="7"/>
  <c r="FO60" i="7" s="1"/>
  <c r="FP60" i="7" s="1"/>
  <c r="EE60" i="7"/>
  <c r="EN60" i="7"/>
  <c r="AD42" i="7"/>
  <c r="EU43" i="7"/>
  <c r="ES43" i="7"/>
  <c r="EP45" i="7"/>
  <c r="FO45" i="7" s="1"/>
  <c r="FP45" i="7" s="1"/>
  <c r="EE45" i="7"/>
  <c r="AS47" i="7"/>
  <c r="HP48" i="7"/>
  <c r="EP49" i="7"/>
  <c r="FO49" i="7" s="1"/>
  <c r="FP49" i="7" s="1"/>
  <c r="EE49" i="7"/>
  <c r="AS50" i="7"/>
  <c r="EU51" i="7"/>
  <c r="EP52" i="7"/>
  <c r="FO52" i="7" s="1"/>
  <c r="FP52" i="7" s="1"/>
  <c r="EE52" i="7"/>
  <c r="EN52" i="7"/>
  <c r="HN52" i="7"/>
  <c r="EP57" i="7"/>
  <c r="FO57" i="7" s="1"/>
  <c r="FP57" i="7" s="1"/>
  <c r="EE57" i="7"/>
  <c r="AS58" i="7"/>
  <c r="AS59" i="7"/>
  <c r="HN59" i="7"/>
  <c r="EP61" i="7"/>
  <c r="FO61" i="7" s="1"/>
  <c r="FP61" i="7" s="1"/>
  <c r="EE61" i="7"/>
  <c r="AS62" i="7"/>
  <c r="EU63" i="7"/>
  <c r="EP64" i="7"/>
  <c r="FO64" i="7" s="1"/>
  <c r="FP64" i="7" s="1"/>
  <c r="EE64" i="7"/>
  <c r="EN64" i="7"/>
  <c r="HN64" i="7"/>
  <c r="AD68" i="7"/>
  <c r="AU69" i="7"/>
  <c r="AQ69" i="7"/>
  <c r="AT69" i="7"/>
  <c r="AU71" i="7"/>
  <c r="AK74" i="7"/>
  <c r="AL74" i="7" s="1"/>
  <c r="AM74" i="7" s="1"/>
  <c r="AN74" i="7" s="1"/>
  <c r="BN75" i="7" s="1"/>
  <c r="EN46" i="7"/>
  <c r="GC46" i="7" s="1"/>
  <c r="ER47" i="7"/>
  <c r="AS49" i="7"/>
  <c r="IC49" i="7"/>
  <c r="ER50" i="7"/>
  <c r="ES51" i="7" s="1"/>
  <c r="EW50" i="7"/>
  <c r="EZ50" i="7" s="1"/>
  <c r="AS53" i="7"/>
  <c r="IC53" i="7"/>
  <c r="ER54" i="7"/>
  <c r="ES55" i="7" s="1"/>
  <c r="EW54" i="7"/>
  <c r="EZ54" i="7" s="1"/>
  <c r="AS57" i="7"/>
  <c r="IC57" i="7"/>
  <c r="AT58" i="7"/>
  <c r="ER58" i="7"/>
  <c r="EW58" i="7"/>
  <c r="EZ58" i="7" s="1"/>
  <c r="AU59" i="7"/>
  <c r="AS61" i="7"/>
  <c r="IC61" i="7"/>
  <c r="ER62" i="7"/>
  <c r="ES63" i="7" s="1"/>
  <c r="EW62" i="7"/>
  <c r="EZ62" i="7" s="1"/>
  <c r="AS65" i="7"/>
  <c r="IC65" i="7"/>
  <c r="ER66" i="7"/>
  <c r="EW66" i="7"/>
  <c r="EZ66" i="7" s="1"/>
  <c r="AS69" i="7"/>
  <c r="EW69" i="7"/>
  <c r="AT71" i="7"/>
  <c r="AS72" i="7"/>
  <c r="AS73" i="7"/>
  <c r="EE46" i="7"/>
  <c r="AU47" i="7"/>
  <c r="IC48" i="7"/>
  <c r="ER49" i="7"/>
  <c r="EW49" i="7"/>
  <c r="EZ49" i="7" s="1"/>
  <c r="IC52" i="7"/>
  <c r="ER53" i="7"/>
  <c r="EW53" i="7"/>
  <c r="EZ53" i="7" s="1"/>
  <c r="IC56" i="7"/>
  <c r="ER57" i="7"/>
  <c r="EW57" i="7"/>
  <c r="EZ57" i="7" s="1"/>
  <c r="IC60" i="7"/>
  <c r="ER61" i="7"/>
  <c r="EW61" i="7"/>
  <c r="EZ61" i="7" s="1"/>
  <c r="IC64" i="7"/>
  <c r="ER65" i="7"/>
  <c r="EW65" i="7"/>
  <c r="EZ65" i="7" s="1"/>
  <c r="IC68" i="7"/>
  <c r="IB71" i="7"/>
  <c r="AS74" i="7"/>
  <c r="ER48" i="7"/>
  <c r="ER52" i="7"/>
  <c r="ER56" i="7"/>
  <c r="ER60" i="7"/>
  <c r="ER64" i="7"/>
  <c r="ER68" i="7"/>
  <c r="AS70" i="7"/>
  <c r="I144" i="4"/>
  <c r="S25" i="3"/>
  <c r="AV174" i="3"/>
  <c r="AW238" i="3"/>
  <c r="FQ50" i="7" l="1"/>
  <c r="GP77" i="7"/>
  <c r="GQ77" i="7" s="1"/>
  <c r="DG74" i="7"/>
  <c r="DG75" i="7" s="1"/>
  <c r="DG76" i="7" s="1"/>
  <c r="DG77" i="7" s="1"/>
  <c r="DG78" i="7" s="1"/>
  <c r="DG79" i="7" s="1"/>
  <c r="DG80" i="7" s="1"/>
  <c r="DG81" i="7" s="1"/>
  <c r="DG82" i="7" s="1"/>
  <c r="DG83" i="7" s="1"/>
  <c r="DG84" i="7" s="1"/>
  <c r="DG85" i="7" s="1"/>
  <c r="DG86" i="7" s="1"/>
  <c r="DG87" i="7" s="1"/>
  <c r="DG88" i="7" s="1"/>
  <c r="DG89" i="7" s="1"/>
  <c r="DG90" i="7" s="1"/>
  <c r="DG91" i="7" s="1"/>
  <c r="DG92" i="7" s="1"/>
  <c r="DG93" i="7" s="1"/>
  <c r="DG94" i="7" s="1"/>
  <c r="DG95" i="7" s="1"/>
  <c r="DG96" i="7" s="1"/>
  <c r="DG97" i="7" s="1"/>
  <c r="DG98" i="7" s="1"/>
  <c r="DG99" i="7" s="1"/>
  <c r="DG100" i="7" s="1"/>
  <c r="DG101" i="7" s="1"/>
  <c r="DG102" i="7" s="1"/>
  <c r="DG103" i="7" s="1"/>
  <c r="DG104" i="7" s="1"/>
  <c r="DG105" i="7" s="1"/>
  <c r="DG106" i="7" s="1"/>
  <c r="DG107" i="7" s="1"/>
  <c r="DG108" i="7" s="1"/>
  <c r="DG109" i="7" s="1"/>
  <c r="DG110" i="7" s="1"/>
  <c r="DG111" i="7" s="1"/>
  <c r="DG112" i="7" s="1"/>
  <c r="DG113" i="7" s="1"/>
  <c r="DG114" i="7" s="1"/>
  <c r="DG115" i="7" s="1"/>
  <c r="DG116" i="7" s="1"/>
  <c r="DG117" i="7" s="1"/>
  <c r="DG118" i="7" s="1"/>
  <c r="DG119" i="7" s="1"/>
  <c r="DG120" i="7" s="1"/>
  <c r="DG121" i="7" s="1"/>
  <c r="DG122" i="7" s="1"/>
  <c r="DG123" i="7" s="1"/>
  <c r="DG124" i="7" s="1"/>
  <c r="DG125" i="7" s="1"/>
  <c r="DG126" i="7" s="1"/>
  <c r="DG127" i="7" s="1"/>
  <c r="DG128" i="7" s="1"/>
  <c r="DG129" i="7" s="1"/>
  <c r="DG130" i="7" s="1"/>
  <c r="DG131" i="7" s="1"/>
  <c r="DG132" i="7" s="1"/>
  <c r="DG133" i="7" s="1"/>
  <c r="DG134" i="7" s="1"/>
  <c r="DG135" i="7" s="1"/>
  <c r="DG136" i="7" s="1"/>
  <c r="DG137" i="7" s="1"/>
  <c r="DG138" i="7" s="1"/>
  <c r="DG139" i="7" s="1"/>
  <c r="DG140" i="7" s="1"/>
  <c r="DG141" i="7" s="1"/>
  <c r="DG142" i="7" s="1"/>
  <c r="DG143" i="7" s="1"/>
  <c r="DG144" i="7" s="1"/>
  <c r="DG145" i="7" s="1"/>
  <c r="DG146" i="7" s="1"/>
  <c r="DG147" i="7" s="1"/>
  <c r="DG148" i="7" s="1"/>
  <c r="DG149" i="7" s="1"/>
  <c r="DG150" i="7" s="1"/>
  <c r="DG151" i="7" s="1"/>
  <c r="DG152" i="7" s="1"/>
  <c r="DG153" i="7" s="1"/>
  <c r="DG154" i="7" s="1"/>
  <c r="DG155" i="7" s="1"/>
  <c r="DG156" i="7" s="1"/>
  <c r="DH74" i="7"/>
  <c r="DH75" i="7" s="1"/>
  <c r="DH76" i="7" s="1"/>
  <c r="DH77" i="7" s="1"/>
  <c r="DH78" i="7" s="1"/>
  <c r="DH79" i="7" s="1"/>
  <c r="DH80" i="7" s="1"/>
  <c r="DH81" i="7" s="1"/>
  <c r="DH82" i="7" s="1"/>
  <c r="DH83" i="7" s="1"/>
  <c r="DH84" i="7" s="1"/>
  <c r="DH85" i="7" s="1"/>
  <c r="DH86" i="7" s="1"/>
  <c r="DH87" i="7" s="1"/>
  <c r="DH88" i="7" s="1"/>
  <c r="DH89" i="7" s="1"/>
  <c r="DH90" i="7" s="1"/>
  <c r="DH91" i="7" s="1"/>
  <c r="DH92" i="7" s="1"/>
  <c r="DH93" i="7" s="1"/>
  <c r="DH94" i="7" s="1"/>
  <c r="DH95" i="7" s="1"/>
  <c r="DH96" i="7" s="1"/>
  <c r="DH97" i="7" s="1"/>
  <c r="DH98" i="7" s="1"/>
  <c r="DH99" i="7" s="1"/>
  <c r="DH100" i="7" s="1"/>
  <c r="DH101" i="7" s="1"/>
  <c r="DH102" i="7" s="1"/>
  <c r="DH103" i="7" s="1"/>
  <c r="DH104" i="7" s="1"/>
  <c r="DH105" i="7" s="1"/>
  <c r="DH106" i="7" s="1"/>
  <c r="DH107" i="7" s="1"/>
  <c r="DH108" i="7" s="1"/>
  <c r="DH109" i="7" s="1"/>
  <c r="DH110" i="7" s="1"/>
  <c r="DH111" i="7" s="1"/>
  <c r="DH112" i="7" s="1"/>
  <c r="DH113" i="7" s="1"/>
  <c r="DH114" i="7" s="1"/>
  <c r="DH115" i="7" s="1"/>
  <c r="DH116" i="7" s="1"/>
  <c r="DH117" i="7" s="1"/>
  <c r="DH118" i="7" s="1"/>
  <c r="DH119" i="7" s="1"/>
  <c r="DH120" i="7" s="1"/>
  <c r="DH121" i="7" s="1"/>
  <c r="DH122" i="7" s="1"/>
  <c r="DH123" i="7" s="1"/>
  <c r="DH124" i="7" s="1"/>
  <c r="DH125" i="7" s="1"/>
  <c r="DH126" i="7" s="1"/>
  <c r="DH127" i="7" s="1"/>
  <c r="DH128" i="7" s="1"/>
  <c r="DH129" i="7" s="1"/>
  <c r="DH130" i="7" s="1"/>
  <c r="DH131" i="7" s="1"/>
  <c r="DH132" i="7" s="1"/>
  <c r="DH133" i="7" s="1"/>
  <c r="DH134" i="7" s="1"/>
  <c r="DH135" i="7" s="1"/>
  <c r="DH136" i="7" s="1"/>
  <c r="DH137" i="7" s="1"/>
  <c r="DH138" i="7" s="1"/>
  <c r="DH139" i="7" s="1"/>
  <c r="DH140" i="7" s="1"/>
  <c r="DH141" i="7" s="1"/>
  <c r="DH142" i="7" s="1"/>
  <c r="DH143" i="7" s="1"/>
  <c r="DH144" i="7" s="1"/>
  <c r="DH145" i="7" s="1"/>
  <c r="DH146" i="7" s="1"/>
  <c r="DH147" i="7" s="1"/>
  <c r="DH148" i="7" s="1"/>
  <c r="DH149" i="7" s="1"/>
  <c r="DH150" i="7" s="1"/>
  <c r="DH151" i="7" s="1"/>
  <c r="DH152" i="7" s="1"/>
  <c r="DH153" i="7" s="1"/>
  <c r="DH154" i="7" s="1"/>
  <c r="DH155" i="7" s="1"/>
  <c r="DH156" i="7" s="1"/>
  <c r="DI74" i="7"/>
  <c r="DI75" i="7" s="1"/>
  <c r="GP82" i="7"/>
  <c r="GQ82" i="7" s="1"/>
  <c r="GL71" i="7"/>
  <c r="GL73" i="7"/>
  <c r="GL74" i="7"/>
  <c r="GL72" i="7"/>
  <c r="FN109" i="7"/>
  <c r="GN109" i="7" s="1"/>
  <c r="FN89" i="7"/>
  <c r="GN89" i="7" s="1"/>
  <c r="FN152" i="7"/>
  <c r="GN152" i="7" s="1"/>
  <c r="FN86" i="7"/>
  <c r="GN86" i="7" s="1"/>
  <c r="FN97" i="7"/>
  <c r="GN97" i="7" s="1"/>
  <c r="FN107" i="7"/>
  <c r="GN107" i="7" s="1"/>
  <c r="FN102" i="7"/>
  <c r="GN102" i="7" s="1"/>
  <c r="FN110" i="7"/>
  <c r="GN110" i="7" s="1"/>
  <c r="FN151" i="7"/>
  <c r="GN151" i="7" s="1"/>
  <c r="FN116" i="7"/>
  <c r="GN116" i="7" s="1"/>
  <c r="FN138" i="7"/>
  <c r="FN144" i="7"/>
  <c r="FN101" i="7"/>
  <c r="FN112" i="7"/>
  <c r="FN78" i="7"/>
  <c r="FN108" i="7"/>
  <c r="FN99" i="7"/>
  <c r="FN119" i="7"/>
  <c r="FN130" i="7"/>
  <c r="FN120" i="7"/>
  <c r="FN93" i="7"/>
  <c r="FN88" i="7"/>
  <c r="FN100" i="7"/>
  <c r="FN136" i="7"/>
  <c r="FN155" i="7"/>
  <c r="FN91" i="7"/>
  <c r="FN103" i="7"/>
  <c r="FN122" i="7"/>
  <c r="FN96" i="7"/>
  <c r="FN149" i="7"/>
  <c r="FN85" i="7"/>
  <c r="FN156" i="7"/>
  <c r="FN92" i="7"/>
  <c r="FN104" i="7"/>
  <c r="FN147" i="7"/>
  <c r="FN83" i="7"/>
  <c r="FN134" i="7"/>
  <c r="FN114" i="7"/>
  <c r="FN135" i="7"/>
  <c r="FN141" i="7"/>
  <c r="FN77" i="7"/>
  <c r="FN127" i="7"/>
  <c r="FN148" i="7"/>
  <c r="FN84" i="7"/>
  <c r="FN143" i="7"/>
  <c r="FN139" i="7"/>
  <c r="FN121" i="7"/>
  <c r="FN94" i="7"/>
  <c r="FN106" i="7"/>
  <c r="GL75" i="7"/>
  <c r="FN79" i="7"/>
  <c r="FN133" i="7"/>
  <c r="FN87" i="7"/>
  <c r="FN140" i="7"/>
  <c r="FN76" i="7"/>
  <c r="FN111" i="7"/>
  <c r="FN131" i="7"/>
  <c r="FN81" i="7"/>
  <c r="FN98" i="7"/>
  <c r="FN145" i="7"/>
  <c r="FN150" i="7"/>
  <c r="FN125" i="7"/>
  <c r="FN137" i="7"/>
  <c r="FN132" i="7"/>
  <c r="FN153" i="7"/>
  <c r="FN95" i="7"/>
  <c r="FN123" i="7"/>
  <c r="FN128" i="7"/>
  <c r="FN154" i="7"/>
  <c r="FN90" i="7"/>
  <c r="GL70" i="7"/>
  <c r="FN129" i="7"/>
  <c r="FN118" i="7"/>
  <c r="FN117" i="7"/>
  <c r="FN105" i="7"/>
  <c r="FN142" i="7"/>
  <c r="FN124" i="7"/>
  <c r="FN113" i="7"/>
  <c r="FN126" i="7"/>
  <c r="FN115" i="7"/>
  <c r="FN80" i="7"/>
  <c r="FN146" i="7"/>
  <c r="FN82" i="7"/>
  <c r="AF58" i="7"/>
  <c r="AF50" i="7"/>
  <c r="CT28" i="7"/>
  <c r="CU28" i="7" s="1"/>
  <c r="CT69" i="7"/>
  <c r="CU69" i="7" s="1"/>
  <c r="AF66" i="7"/>
  <c r="FR27" i="7"/>
  <c r="FS27" i="7" s="1"/>
  <c r="GP79" i="7"/>
  <c r="GQ79" i="7" s="1"/>
  <c r="GP139" i="7"/>
  <c r="GQ139" i="7" s="1"/>
  <c r="GP143" i="7"/>
  <c r="GQ143" i="7" s="1"/>
  <c r="GP146" i="7"/>
  <c r="GQ146" i="7" s="1"/>
  <c r="GP97" i="7"/>
  <c r="GQ97" i="7" s="1"/>
  <c r="GP132" i="7"/>
  <c r="GQ132" i="7" s="1"/>
  <c r="GP112" i="7"/>
  <c r="GQ112" i="7" s="1"/>
  <c r="GP110" i="7"/>
  <c r="GQ110" i="7" s="1"/>
  <c r="GP117" i="7"/>
  <c r="GQ117" i="7" s="1"/>
  <c r="GP134" i="7"/>
  <c r="GQ134" i="7" s="1"/>
  <c r="GP131" i="7"/>
  <c r="GQ131" i="7" s="1"/>
  <c r="GP95" i="7"/>
  <c r="GQ95" i="7" s="1"/>
  <c r="GP138" i="7"/>
  <c r="GQ138" i="7" s="1"/>
  <c r="GP151" i="7"/>
  <c r="GQ151" i="7" s="1"/>
  <c r="GP153" i="7"/>
  <c r="GQ153" i="7" s="1"/>
  <c r="GP89" i="7"/>
  <c r="GQ89" i="7" s="1"/>
  <c r="GP100" i="7"/>
  <c r="GQ100" i="7" s="1"/>
  <c r="GP104" i="7"/>
  <c r="GQ104" i="7" s="1"/>
  <c r="GP94" i="7"/>
  <c r="GQ94" i="7" s="1"/>
  <c r="GP109" i="7"/>
  <c r="GQ109" i="7" s="1"/>
  <c r="GP156" i="7"/>
  <c r="GQ156" i="7" s="1"/>
  <c r="GP123" i="7"/>
  <c r="GQ123" i="7" s="1"/>
  <c r="GP142" i="7"/>
  <c r="GQ142" i="7" s="1"/>
  <c r="GP130" i="7"/>
  <c r="GQ130" i="7" s="1"/>
  <c r="GP111" i="7"/>
  <c r="GQ111" i="7" s="1"/>
  <c r="GP145" i="7"/>
  <c r="GQ145" i="7" s="1"/>
  <c r="GP81" i="7"/>
  <c r="GQ81" i="7" s="1"/>
  <c r="GP96" i="7"/>
  <c r="GQ96" i="7" s="1"/>
  <c r="GP86" i="7"/>
  <c r="GQ86" i="7" s="1"/>
  <c r="GP101" i="7"/>
  <c r="GQ101" i="7" s="1"/>
  <c r="GP124" i="7"/>
  <c r="GQ124" i="7" s="1"/>
  <c r="GP115" i="7"/>
  <c r="GQ115" i="7" s="1"/>
  <c r="GP102" i="7"/>
  <c r="GQ102" i="7" s="1"/>
  <c r="GP122" i="7"/>
  <c r="GQ122" i="7" s="1"/>
  <c r="GP137" i="7"/>
  <c r="GQ137" i="7" s="1"/>
  <c r="GP152" i="7"/>
  <c r="GQ152" i="7" s="1"/>
  <c r="GP88" i="7"/>
  <c r="GQ88" i="7" s="1"/>
  <c r="GP78" i="7"/>
  <c r="GQ78" i="7" s="1"/>
  <c r="GP93" i="7"/>
  <c r="GQ93" i="7" s="1"/>
  <c r="GP84" i="7"/>
  <c r="GQ84" i="7" s="1"/>
  <c r="GP107" i="7"/>
  <c r="GQ107" i="7" s="1"/>
  <c r="GP140" i="7"/>
  <c r="GQ140" i="7" s="1"/>
  <c r="GP114" i="7"/>
  <c r="GQ114" i="7" s="1"/>
  <c r="GP118" i="7"/>
  <c r="GQ118" i="7" s="1"/>
  <c r="GP129" i="7"/>
  <c r="GQ129" i="7" s="1"/>
  <c r="GP119" i="7"/>
  <c r="GQ119" i="7" s="1"/>
  <c r="GP144" i="7"/>
  <c r="GQ144" i="7" s="1"/>
  <c r="GP80" i="7"/>
  <c r="GQ80" i="7" s="1"/>
  <c r="GP149" i="7"/>
  <c r="GQ149" i="7" s="1"/>
  <c r="GP85" i="7"/>
  <c r="GQ85" i="7" s="1"/>
  <c r="GP99" i="7"/>
  <c r="GQ99" i="7" s="1"/>
  <c r="GP108" i="7"/>
  <c r="GQ108" i="7" s="1"/>
  <c r="GP106" i="7"/>
  <c r="GQ106" i="7" s="1"/>
  <c r="GP148" i="7"/>
  <c r="GQ148" i="7" s="1"/>
  <c r="GP121" i="7"/>
  <c r="GQ121" i="7" s="1"/>
  <c r="GP87" i="7"/>
  <c r="GQ87" i="7" s="1"/>
  <c r="GP136" i="7"/>
  <c r="GQ136" i="7" s="1"/>
  <c r="GP135" i="7"/>
  <c r="GQ135" i="7" s="1"/>
  <c r="GP141" i="7"/>
  <c r="GQ141" i="7" s="1"/>
  <c r="GP155" i="7"/>
  <c r="GQ155" i="7" s="1"/>
  <c r="GP91" i="7"/>
  <c r="GQ91" i="7" s="1"/>
  <c r="GP98" i="7"/>
  <c r="GQ98" i="7" s="1"/>
  <c r="GP116" i="7"/>
  <c r="GQ116" i="7" s="1"/>
  <c r="GP113" i="7"/>
  <c r="GQ113" i="7" s="1"/>
  <c r="GP126" i="7"/>
  <c r="GQ126" i="7" s="1"/>
  <c r="GP128" i="7"/>
  <c r="GQ128" i="7" s="1"/>
  <c r="GP103" i="7"/>
  <c r="GQ103" i="7" s="1"/>
  <c r="GP133" i="7"/>
  <c r="GQ133" i="7" s="1"/>
  <c r="GP127" i="7"/>
  <c r="GQ127" i="7" s="1"/>
  <c r="GP147" i="7"/>
  <c r="GQ147" i="7" s="1"/>
  <c r="GP83" i="7"/>
  <c r="GP154" i="7"/>
  <c r="GQ154" i="7" s="1"/>
  <c r="GP90" i="7"/>
  <c r="GQ90" i="7" s="1"/>
  <c r="GP92" i="7"/>
  <c r="GQ92" i="7" s="1"/>
  <c r="GP105" i="7"/>
  <c r="GQ105" i="7" s="1"/>
  <c r="GP120" i="7"/>
  <c r="GQ120" i="7" s="1"/>
  <c r="GP150" i="7"/>
  <c r="GQ150" i="7" s="1"/>
  <c r="GP125" i="7"/>
  <c r="GQ125" i="7" s="1"/>
  <c r="AT50" i="7"/>
  <c r="CT63" i="7"/>
  <c r="CU63" i="7" s="1"/>
  <c r="CT24" i="7"/>
  <c r="CU24" i="7" s="1"/>
  <c r="AF26" i="7"/>
  <c r="AU51" i="7"/>
  <c r="AF72" i="7"/>
  <c r="HW72" i="7"/>
  <c r="HW73" i="7"/>
  <c r="HW71" i="7"/>
  <c r="HW70" i="7"/>
  <c r="F6" i="11"/>
  <c r="F7" i="11"/>
  <c r="AF47" i="7"/>
  <c r="AV76" i="7"/>
  <c r="GC28" i="7"/>
  <c r="AU73" i="7"/>
  <c r="CT41" i="7"/>
  <c r="CU41" i="7" s="1"/>
  <c r="FR33" i="7"/>
  <c r="FS33" i="7" s="1"/>
  <c r="AF22" i="7"/>
  <c r="P7" i="9"/>
  <c r="AQ58" i="7"/>
  <c r="AN58" i="7"/>
  <c r="AU61" i="7"/>
  <c r="AN61" i="7"/>
  <c r="AT40" i="7"/>
  <c r="AN40" i="7"/>
  <c r="AT21" i="7"/>
  <c r="AN21" i="7"/>
  <c r="AQ50" i="7"/>
  <c r="AN50" i="7"/>
  <c r="AU63" i="7"/>
  <c r="AN63" i="7"/>
  <c r="AT43" i="7"/>
  <c r="AN43" i="7"/>
  <c r="AQ66" i="7"/>
  <c r="AN66" i="7"/>
  <c r="AQ54" i="7"/>
  <c r="AN54" i="7"/>
  <c r="AT46" i="7"/>
  <c r="AN46" i="7"/>
  <c r="AU49" i="7"/>
  <c r="AN49" i="7"/>
  <c r="AU53" i="7"/>
  <c r="AN53" i="7"/>
  <c r="AT55" i="7"/>
  <c r="AN55" i="7"/>
  <c r="AT28" i="7"/>
  <c r="AN28" i="7"/>
  <c r="AT29" i="7"/>
  <c r="AN29" i="7"/>
  <c r="AT34" i="7"/>
  <c r="AN34" i="7"/>
  <c r="AT72" i="7"/>
  <c r="AN72" i="7"/>
  <c r="AT32" i="7"/>
  <c r="AN32" i="7"/>
  <c r="AT24" i="7"/>
  <c r="AN24" i="7"/>
  <c r="AQ67" i="7"/>
  <c r="AN67" i="7"/>
  <c r="AT27" i="7"/>
  <c r="AN27" i="7"/>
  <c r="AT33" i="7"/>
  <c r="AN33" i="7"/>
  <c r="AT25" i="7"/>
  <c r="AN25" i="7"/>
  <c r="AU65" i="7"/>
  <c r="AN65" i="7"/>
  <c r="AT38" i="7"/>
  <c r="AN38" i="7"/>
  <c r="AQ73" i="7"/>
  <c r="AN73" i="7"/>
  <c r="AT31" i="7"/>
  <c r="AN31" i="7"/>
  <c r="AU70" i="7"/>
  <c r="AN70" i="7"/>
  <c r="AT23" i="7"/>
  <c r="AN23" i="7"/>
  <c r="AQ62" i="7"/>
  <c r="AN62" i="7"/>
  <c r="AT57" i="7"/>
  <c r="AN57" i="7"/>
  <c r="AT41" i="7"/>
  <c r="AN41" i="7"/>
  <c r="AV78" i="7"/>
  <c r="AX78" i="7" s="1"/>
  <c r="AY78" i="7" s="1"/>
  <c r="AZ77" i="7"/>
  <c r="AV77" i="7"/>
  <c r="AX77" i="7" s="1"/>
  <c r="AY77" i="7" s="1"/>
  <c r="AZ76" i="7"/>
  <c r="AV79" i="7"/>
  <c r="AX79" i="7" s="1"/>
  <c r="AY79" i="7" s="1"/>
  <c r="AZ79" i="7"/>
  <c r="A9" i="10"/>
  <c r="A7" i="11"/>
  <c r="AZ82" i="7"/>
  <c r="AZ78" i="7"/>
  <c r="AV81" i="7"/>
  <c r="AX81" i="7" s="1"/>
  <c r="AY81" i="7" s="1"/>
  <c r="AV80" i="7"/>
  <c r="AX80" i="7" s="1"/>
  <c r="AY80" i="7" s="1"/>
  <c r="AZ81" i="7"/>
  <c r="E4" i="11"/>
  <c r="AF23" i="7"/>
  <c r="FD75" i="7"/>
  <c r="AZ86" i="7"/>
  <c r="AV84" i="7"/>
  <c r="AX84" i="7" s="1"/>
  <c r="AY84" i="7" s="1"/>
  <c r="AV143" i="7"/>
  <c r="AX143" i="7" s="1"/>
  <c r="AY143" i="7" s="1"/>
  <c r="AZ83" i="7"/>
  <c r="AV99" i="7"/>
  <c r="AX99" i="7" s="1"/>
  <c r="AY99" i="7" s="1"/>
  <c r="AV119" i="7"/>
  <c r="AX119" i="7" s="1"/>
  <c r="AY119" i="7" s="1"/>
  <c r="AV130" i="7"/>
  <c r="AX130" i="7" s="1"/>
  <c r="AY130" i="7" s="1"/>
  <c r="AZ156" i="7"/>
  <c r="AZ113" i="7"/>
  <c r="AV147" i="7"/>
  <c r="AX147" i="7" s="1"/>
  <c r="AY147" i="7" s="1"/>
  <c r="AV110" i="7"/>
  <c r="AX110" i="7" s="1"/>
  <c r="AY110" i="7" s="1"/>
  <c r="AZ108" i="7"/>
  <c r="AV86" i="7"/>
  <c r="AX86" i="7" s="1"/>
  <c r="AY86" i="7" s="1"/>
  <c r="AZ84" i="7"/>
  <c r="AZ96" i="7"/>
  <c r="AV136" i="7"/>
  <c r="AX136" i="7" s="1"/>
  <c r="AY136" i="7" s="1"/>
  <c r="AZ142" i="7"/>
  <c r="AV145" i="7"/>
  <c r="AX145" i="7" s="1"/>
  <c r="AY145" i="7" s="1"/>
  <c r="AZ131" i="7"/>
  <c r="AV91" i="7"/>
  <c r="AX91" i="7" s="1"/>
  <c r="AY91" i="7" s="1"/>
  <c r="AV152" i="7"/>
  <c r="AX152" i="7" s="1"/>
  <c r="AY152" i="7" s="1"/>
  <c r="AV127" i="7"/>
  <c r="AX127" i="7" s="1"/>
  <c r="AY127" i="7" s="1"/>
  <c r="AZ148" i="7"/>
  <c r="AZ123" i="7"/>
  <c r="AZ105" i="7"/>
  <c r="AV114" i="7"/>
  <c r="AX114" i="7" s="1"/>
  <c r="AY114" i="7" s="1"/>
  <c r="AV128" i="7"/>
  <c r="AX128" i="7" s="1"/>
  <c r="AY128" i="7" s="1"/>
  <c r="AV133" i="7"/>
  <c r="AX133" i="7" s="1"/>
  <c r="AY133" i="7" s="1"/>
  <c r="AZ133" i="7"/>
  <c r="AZ92" i="7"/>
  <c r="AZ146" i="7"/>
  <c r="AZ103" i="7"/>
  <c r="AV106" i="7"/>
  <c r="AX106" i="7" s="1"/>
  <c r="AY106" i="7" s="1"/>
  <c r="AV88" i="7"/>
  <c r="AX88" i="7" s="1"/>
  <c r="AY88" i="7" s="1"/>
  <c r="AV118" i="7"/>
  <c r="AX118" i="7" s="1"/>
  <c r="AY118" i="7" s="1"/>
  <c r="AV117" i="7"/>
  <c r="AX117" i="7" s="1"/>
  <c r="AY117" i="7" s="1"/>
  <c r="AZ117" i="7"/>
  <c r="AZ138" i="7"/>
  <c r="AZ144" i="7"/>
  <c r="AV100" i="7"/>
  <c r="AX100" i="7" s="1"/>
  <c r="AY100" i="7" s="1"/>
  <c r="AV108" i="7"/>
  <c r="AX108" i="7" s="1"/>
  <c r="AY108" i="7" s="1"/>
  <c r="AV156" i="7"/>
  <c r="AX156" i="7" s="1"/>
  <c r="AY156" i="7" s="1"/>
  <c r="AV109" i="7"/>
  <c r="AX109" i="7" s="1"/>
  <c r="AY109" i="7" s="1"/>
  <c r="AZ150" i="7"/>
  <c r="AZ109" i="7"/>
  <c r="AZ98" i="7"/>
  <c r="AZ136" i="7"/>
  <c r="AV115" i="7"/>
  <c r="AX115" i="7" s="1"/>
  <c r="AY115" i="7" s="1"/>
  <c r="AV153" i="7"/>
  <c r="AX153" i="7" s="1"/>
  <c r="AY153" i="7" s="1"/>
  <c r="AV129" i="7"/>
  <c r="AX129" i="7" s="1"/>
  <c r="AY129" i="7" s="1"/>
  <c r="AV94" i="7"/>
  <c r="AX94" i="7" s="1"/>
  <c r="AY94" i="7" s="1"/>
  <c r="AV140" i="7"/>
  <c r="AX140" i="7" s="1"/>
  <c r="AY140" i="7" s="1"/>
  <c r="AZ102" i="7"/>
  <c r="AZ127" i="7"/>
  <c r="AZ147" i="7"/>
  <c r="AZ143" i="7"/>
  <c r="EH154" i="7"/>
  <c r="CT33" i="7"/>
  <c r="CU33" i="7" s="1"/>
  <c r="CT65" i="7"/>
  <c r="CU65" i="7" s="1"/>
  <c r="CT45" i="7"/>
  <c r="CU45" i="7" s="1"/>
  <c r="CT35" i="7"/>
  <c r="CU35" i="7" s="1"/>
  <c r="FQ47" i="7"/>
  <c r="AU67" i="7"/>
  <c r="AF53" i="7"/>
  <c r="FQ67" i="7"/>
  <c r="FR20" i="7"/>
  <c r="FS20" i="7" s="1"/>
  <c r="FQ44" i="7"/>
  <c r="CT25" i="7"/>
  <c r="CU25" i="7" s="1"/>
  <c r="AF67" i="7"/>
  <c r="AF54" i="7"/>
  <c r="CT48" i="7"/>
  <c r="CU48" i="7" s="1"/>
  <c r="FC77" i="7"/>
  <c r="FC78" i="7" s="1"/>
  <c r="FD76" i="7"/>
  <c r="EH71" i="7"/>
  <c r="EH72" i="7" s="1"/>
  <c r="EH73" i="7" s="1"/>
  <c r="EO73" i="7" s="1"/>
  <c r="EQ73" i="7" s="1"/>
  <c r="FO73" i="7" s="1"/>
  <c r="FP73" i="7" s="1"/>
  <c r="EO70" i="7"/>
  <c r="A44" i="8"/>
  <c r="AZ129" i="7"/>
  <c r="AZ80" i="7"/>
  <c r="AV155" i="7"/>
  <c r="AX155" i="7" s="1"/>
  <c r="AY155" i="7" s="1"/>
  <c r="AV83" i="7"/>
  <c r="AX83" i="7" s="1"/>
  <c r="AY83" i="7" s="1"/>
  <c r="AV98" i="7"/>
  <c r="AX98" i="7" s="1"/>
  <c r="AY98" i="7" s="1"/>
  <c r="AV137" i="7"/>
  <c r="AX137" i="7" s="1"/>
  <c r="AY137" i="7" s="1"/>
  <c r="AV120" i="7"/>
  <c r="AX120" i="7" s="1"/>
  <c r="AY120" i="7" s="1"/>
  <c r="AV113" i="7"/>
  <c r="AX113" i="7" s="1"/>
  <c r="AY113" i="7" s="1"/>
  <c r="AV111" i="7"/>
  <c r="AX111" i="7" s="1"/>
  <c r="AY111" i="7" s="1"/>
  <c r="AV150" i="7"/>
  <c r="AX150" i="7" s="1"/>
  <c r="AY150" i="7" s="1"/>
  <c r="AV101" i="7"/>
  <c r="AX101" i="7" s="1"/>
  <c r="AY101" i="7" s="1"/>
  <c r="AZ134" i="7"/>
  <c r="AZ111" i="7"/>
  <c r="AZ101" i="7"/>
  <c r="AZ140" i="7"/>
  <c r="AZ115" i="7"/>
  <c r="AZ130" i="7"/>
  <c r="AZ95" i="7"/>
  <c r="AZ97" i="7"/>
  <c r="AZ128" i="7"/>
  <c r="EH151" i="7"/>
  <c r="AV139" i="7"/>
  <c r="AX139" i="7" s="1"/>
  <c r="AY139" i="7" s="1"/>
  <c r="AV154" i="7"/>
  <c r="AX154" i="7" s="1"/>
  <c r="AY154" i="7" s="1"/>
  <c r="AV90" i="7"/>
  <c r="AX90" i="7" s="1"/>
  <c r="AY90" i="7" s="1"/>
  <c r="AV121" i="7"/>
  <c r="AX121" i="7" s="1"/>
  <c r="AY121" i="7" s="1"/>
  <c r="AV112" i="7"/>
  <c r="AX112" i="7" s="1"/>
  <c r="AY112" i="7" s="1"/>
  <c r="AV97" i="7"/>
  <c r="AX97" i="7" s="1"/>
  <c r="AY97" i="7" s="1"/>
  <c r="AV103" i="7"/>
  <c r="AX103" i="7" s="1"/>
  <c r="AY103" i="7" s="1"/>
  <c r="AV142" i="7"/>
  <c r="AX142" i="7" s="1"/>
  <c r="AY142" i="7" s="1"/>
  <c r="AV93" i="7"/>
  <c r="AX93" i="7" s="1"/>
  <c r="AY93" i="7" s="1"/>
  <c r="AZ126" i="7"/>
  <c r="AZ93" i="7"/>
  <c r="AZ132" i="7"/>
  <c r="AZ135" i="7"/>
  <c r="AZ107" i="7"/>
  <c r="AZ122" i="7"/>
  <c r="AZ153" i="7"/>
  <c r="AZ89" i="7"/>
  <c r="AZ120" i="7"/>
  <c r="AV131" i="7"/>
  <c r="AX131" i="7" s="1"/>
  <c r="AY131" i="7" s="1"/>
  <c r="AV146" i="7"/>
  <c r="AX146" i="7" s="1"/>
  <c r="AY146" i="7" s="1"/>
  <c r="AV82" i="7"/>
  <c r="AV105" i="7"/>
  <c r="AX105" i="7" s="1"/>
  <c r="AY105" i="7" s="1"/>
  <c r="AV104" i="7"/>
  <c r="AX104" i="7" s="1"/>
  <c r="AY104" i="7" s="1"/>
  <c r="AV89" i="7"/>
  <c r="AX89" i="7" s="1"/>
  <c r="AY89" i="7" s="1"/>
  <c r="AV95" i="7"/>
  <c r="AX95" i="7" s="1"/>
  <c r="AY95" i="7" s="1"/>
  <c r="AV134" i="7"/>
  <c r="AX134" i="7" s="1"/>
  <c r="AY134" i="7" s="1"/>
  <c r="AV149" i="7"/>
  <c r="AX149" i="7" s="1"/>
  <c r="AY149" i="7" s="1"/>
  <c r="AV85" i="7"/>
  <c r="AX85" i="7" s="1"/>
  <c r="AY85" i="7" s="1"/>
  <c r="AZ118" i="7"/>
  <c r="AZ149" i="7"/>
  <c r="AZ85" i="7"/>
  <c r="AZ124" i="7"/>
  <c r="AZ99" i="7"/>
  <c r="AZ114" i="7"/>
  <c r="AZ145" i="7"/>
  <c r="AZ112" i="7"/>
  <c r="AV123" i="7"/>
  <c r="AX123" i="7" s="1"/>
  <c r="AY123" i="7" s="1"/>
  <c r="AV138" i="7"/>
  <c r="AX138" i="7" s="1"/>
  <c r="AY138" i="7" s="1"/>
  <c r="AV132" i="7"/>
  <c r="AX132" i="7" s="1"/>
  <c r="AY132" i="7" s="1"/>
  <c r="AV96" i="7"/>
  <c r="AX96" i="7" s="1"/>
  <c r="AY96" i="7" s="1"/>
  <c r="AV151" i="7"/>
  <c r="AX151" i="7" s="1"/>
  <c r="AY151" i="7" s="1"/>
  <c r="AV87" i="7"/>
  <c r="AX87" i="7" s="1"/>
  <c r="AY87" i="7" s="1"/>
  <c r="AV126" i="7"/>
  <c r="AX126" i="7" s="1"/>
  <c r="AY126" i="7" s="1"/>
  <c r="AV141" i="7"/>
  <c r="AX141" i="7" s="1"/>
  <c r="AY141" i="7" s="1"/>
  <c r="AZ110" i="7"/>
  <c r="AZ141" i="7"/>
  <c r="AZ116" i="7"/>
  <c r="AZ155" i="7"/>
  <c r="AZ91" i="7"/>
  <c r="AZ106" i="7"/>
  <c r="AZ137" i="7"/>
  <c r="AZ151" i="7"/>
  <c r="AZ104" i="7"/>
  <c r="EH152" i="7"/>
  <c r="AV124" i="7"/>
  <c r="AX124" i="7" s="1"/>
  <c r="AY124" i="7" s="1"/>
  <c r="AV107" i="7"/>
  <c r="AX107" i="7" s="1"/>
  <c r="AY107" i="7" s="1"/>
  <c r="AV122" i="7"/>
  <c r="AX122" i="7" s="1"/>
  <c r="AY122" i="7" s="1"/>
  <c r="AV92" i="7"/>
  <c r="AX92" i="7" s="1"/>
  <c r="AY92" i="7" s="1"/>
  <c r="AV144" i="7"/>
  <c r="AX144" i="7" s="1"/>
  <c r="AY144" i="7" s="1"/>
  <c r="AV135" i="7"/>
  <c r="AX135" i="7" s="1"/>
  <c r="AY135" i="7" s="1"/>
  <c r="AV148" i="7"/>
  <c r="AX148" i="7" s="1"/>
  <c r="AY148" i="7" s="1"/>
  <c r="AV102" i="7"/>
  <c r="AX102" i="7" s="1"/>
  <c r="AY102" i="7" s="1"/>
  <c r="AV125" i="7"/>
  <c r="AX125" i="7" s="1"/>
  <c r="AY125" i="7" s="1"/>
  <c r="AV116" i="7"/>
  <c r="AX116" i="7" s="1"/>
  <c r="AY116" i="7" s="1"/>
  <c r="AZ119" i="7"/>
  <c r="AZ94" i="7"/>
  <c r="AZ125" i="7"/>
  <c r="AZ87" i="7"/>
  <c r="AZ100" i="7"/>
  <c r="AZ139" i="7"/>
  <c r="AZ154" i="7"/>
  <c r="AZ90" i="7"/>
  <c r="AZ121" i="7"/>
  <c r="AZ152" i="7"/>
  <c r="AZ88" i="7"/>
  <c r="EH155" i="7"/>
  <c r="EI155" i="7" s="1"/>
  <c r="EH153" i="7"/>
  <c r="EH156" i="7"/>
  <c r="AX75" i="7"/>
  <c r="AY75" i="7" s="1"/>
  <c r="GC24" i="7"/>
  <c r="FR32" i="7"/>
  <c r="FS32" i="7" s="1"/>
  <c r="FL105" i="7"/>
  <c r="FM105" i="7" s="1"/>
  <c r="CT21" i="7"/>
  <c r="CU21" i="7" s="1"/>
  <c r="FL89" i="7"/>
  <c r="FM89" i="7" s="1"/>
  <c r="FL155" i="7"/>
  <c r="FM155" i="7" s="1"/>
  <c r="FQ17" i="7"/>
  <c r="FL97" i="7"/>
  <c r="FM97" i="7" s="1"/>
  <c r="FL84" i="7"/>
  <c r="FM84" i="7" s="1"/>
  <c r="FL113" i="7"/>
  <c r="FM113" i="7" s="1"/>
  <c r="FL123" i="7"/>
  <c r="FM123" i="7" s="1"/>
  <c r="CT40" i="7"/>
  <c r="CU40" i="7" s="1"/>
  <c r="AF61" i="7"/>
  <c r="CT36" i="7"/>
  <c r="CU36" i="7" s="1"/>
  <c r="FL131" i="7"/>
  <c r="FM131" i="7" s="1"/>
  <c r="FR18" i="7"/>
  <c r="FS18" i="7" s="1"/>
  <c r="FL139" i="7"/>
  <c r="FM139" i="7" s="1"/>
  <c r="FL71" i="7"/>
  <c r="FM71" i="7" s="1"/>
  <c r="FL147" i="7"/>
  <c r="FM147" i="7" s="1"/>
  <c r="CT32" i="7"/>
  <c r="CU32" i="7" s="1"/>
  <c r="FR21" i="7"/>
  <c r="FS21" i="7" s="1"/>
  <c r="FR31" i="7"/>
  <c r="FS31" i="7" s="1"/>
  <c r="AF34" i="7"/>
  <c r="GC42" i="7"/>
  <c r="AF57" i="7"/>
  <c r="AU62" i="7"/>
  <c r="CT62" i="7"/>
  <c r="CU62" i="7" s="1"/>
  <c r="AF46" i="7"/>
  <c r="CT49" i="7"/>
  <c r="CU49" i="7" s="1"/>
  <c r="FS28" i="7"/>
  <c r="AU58" i="7"/>
  <c r="CT59" i="7"/>
  <c r="CU59" i="7" s="1"/>
  <c r="CT73" i="7"/>
  <c r="CU73" i="7" s="1"/>
  <c r="AF27" i="7"/>
  <c r="AF30" i="7"/>
  <c r="FQ28" i="7"/>
  <c r="FQ25" i="7"/>
  <c r="FR25" i="7"/>
  <c r="FS25" i="7" s="1"/>
  <c r="FQ66" i="7"/>
  <c r="CT37" i="7"/>
  <c r="CU37" i="7" s="1"/>
  <c r="FR19" i="7"/>
  <c r="FS19" i="7" s="1"/>
  <c r="AF31" i="7"/>
  <c r="FQ29" i="7"/>
  <c r="GC41" i="7"/>
  <c r="AT62" i="7"/>
  <c r="AF70" i="7"/>
  <c r="C24" i="8"/>
  <c r="C26" i="8"/>
  <c r="A31" i="8"/>
  <c r="F10" i="11"/>
  <c r="A10" i="11"/>
  <c r="A25" i="8"/>
  <c r="A24" i="8"/>
  <c r="B112" i="8"/>
  <c r="AW77" i="7"/>
  <c r="AW78" i="7" s="1"/>
  <c r="AW79" i="7" s="1"/>
  <c r="AW80" i="7" s="1"/>
  <c r="AW81" i="7" s="1"/>
  <c r="AW82" i="7" s="1"/>
  <c r="AW83" i="7" s="1"/>
  <c r="AW84" i="7" s="1"/>
  <c r="AW85" i="7" s="1"/>
  <c r="AW86" i="7" s="1"/>
  <c r="AW87" i="7" s="1"/>
  <c r="AW88" i="7" s="1"/>
  <c r="AW89" i="7" s="1"/>
  <c r="AW90" i="7" s="1"/>
  <c r="AW91" i="7" s="1"/>
  <c r="AW92" i="7" s="1"/>
  <c r="AW93" i="7" s="1"/>
  <c r="AW94" i="7" s="1"/>
  <c r="AW95" i="7" s="1"/>
  <c r="AW96" i="7" s="1"/>
  <c r="AW97" i="7" s="1"/>
  <c r="AW98" i="7" s="1"/>
  <c r="AW99" i="7" s="1"/>
  <c r="AW100" i="7" s="1"/>
  <c r="AW101" i="7" s="1"/>
  <c r="AW102" i="7" s="1"/>
  <c r="AW103" i="7" s="1"/>
  <c r="AW104" i="7" s="1"/>
  <c r="AW105" i="7" s="1"/>
  <c r="AW106" i="7" s="1"/>
  <c r="AW107" i="7" s="1"/>
  <c r="AW108" i="7" s="1"/>
  <c r="AW109" i="7" s="1"/>
  <c r="AW110" i="7" s="1"/>
  <c r="AW111" i="7" s="1"/>
  <c r="AW112" i="7" s="1"/>
  <c r="AW113" i="7" s="1"/>
  <c r="AW114" i="7" s="1"/>
  <c r="AW115" i="7" s="1"/>
  <c r="AW116" i="7" s="1"/>
  <c r="AW117" i="7" s="1"/>
  <c r="AW118" i="7" s="1"/>
  <c r="AW119" i="7" s="1"/>
  <c r="AW120" i="7" s="1"/>
  <c r="AW121" i="7" s="1"/>
  <c r="AW122" i="7" s="1"/>
  <c r="AW123" i="7" s="1"/>
  <c r="AW124" i="7" s="1"/>
  <c r="AW125" i="7" s="1"/>
  <c r="AW126" i="7" s="1"/>
  <c r="AW127" i="7" s="1"/>
  <c r="AW128" i="7" s="1"/>
  <c r="AW129" i="7" s="1"/>
  <c r="AW130" i="7" s="1"/>
  <c r="AW131" i="7" s="1"/>
  <c r="AW132" i="7" s="1"/>
  <c r="AW133" i="7" s="1"/>
  <c r="AW134" i="7" s="1"/>
  <c r="AW135" i="7" s="1"/>
  <c r="AW136" i="7" s="1"/>
  <c r="AW137" i="7" s="1"/>
  <c r="AW138" i="7" s="1"/>
  <c r="AW139" i="7" s="1"/>
  <c r="AW140" i="7" s="1"/>
  <c r="AW141" i="7" s="1"/>
  <c r="AW142" i="7" s="1"/>
  <c r="AW143" i="7" s="1"/>
  <c r="AW144" i="7" s="1"/>
  <c r="AW145" i="7" s="1"/>
  <c r="AW146" i="7" s="1"/>
  <c r="AW147" i="7" s="1"/>
  <c r="AW148" i="7" s="1"/>
  <c r="AW149" i="7" s="1"/>
  <c r="AW150" i="7" s="1"/>
  <c r="AW151" i="7" s="1"/>
  <c r="AW152" i="7" s="1"/>
  <c r="AW153" i="7" s="1"/>
  <c r="AW154" i="7" s="1"/>
  <c r="AW155" i="7" s="1"/>
  <c r="AW156" i="7" s="1"/>
  <c r="CZ70" i="7"/>
  <c r="CZ67" i="7"/>
  <c r="CZ71" i="7"/>
  <c r="CZ73" i="7"/>
  <c r="CZ69" i="7"/>
  <c r="CZ72" i="7"/>
  <c r="CZ74" i="7"/>
  <c r="CJ76" i="7"/>
  <c r="CJ75" i="7"/>
  <c r="FQ55" i="7"/>
  <c r="GC31" i="7"/>
  <c r="AF29" i="7"/>
  <c r="AQ55" i="7"/>
  <c r="CT55" i="7"/>
  <c r="CU55" i="7" s="1"/>
  <c r="FR23" i="7"/>
  <c r="FS23" i="7" s="1"/>
  <c r="AU55" i="7"/>
  <c r="AF44" i="7"/>
  <c r="B118" i="8"/>
  <c r="CT38" i="7"/>
  <c r="CU38" i="7" s="1"/>
  <c r="AQ72" i="7"/>
  <c r="AU46" i="7"/>
  <c r="AF43" i="7"/>
  <c r="AU72" i="7"/>
  <c r="AT61" i="7"/>
  <c r="FQ62" i="7"/>
  <c r="FQ58" i="7"/>
  <c r="FQ54" i="7"/>
  <c r="AQ57" i="7"/>
  <c r="GC23" i="7"/>
  <c r="FL82" i="7"/>
  <c r="FM82" i="7" s="1"/>
  <c r="FL73" i="7"/>
  <c r="FM73" i="7" s="1"/>
  <c r="FL90" i="7"/>
  <c r="FM90" i="7" s="1"/>
  <c r="FL98" i="7"/>
  <c r="FM98" i="7" s="1"/>
  <c r="FL106" i="7"/>
  <c r="FM106" i="7" s="1"/>
  <c r="FL116" i="7"/>
  <c r="FM116" i="7" s="1"/>
  <c r="FL124" i="7"/>
  <c r="FM124" i="7" s="1"/>
  <c r="FL132" i="7"/>
  <c r="FM132" i="7" s="1"/>
  <c r="FL140" i="7"/>
  <c r="FM140" i="7" s="1"/>
  <c r="FL148" i="7"/>
  <c r="FM148" i="7" s="1"/>
  <c r="FL156" i="7"/>
  <c r="FM156" i="7" s="1"/>
  <c r="AF51" i="7"/>
  <c r="AU57" i="7"/>
  <c r="FL80" i="7"/>
  <c r="FM80" i="7" s="1"/>
  <c r="FL115" i="7"/>
  <c r="FM115" i="7" s="1"/>
  <c r="FL91" i="7"/>
  <c r="FM91" i="7" s="1"/>
  <c r="FL99" i="7"/>
  <c r="FM99" i="7" s="1"/>
  <c r="FL107" i="7"/>
  <c r="FM107" i="7" s="1"/>
  <c r="FL117" i="7"/>
  <c r="FM117" i="7" s="1"/>
  <c r="FL125" i="7"/>
  <c r="FM125" i="7" s="1"/>
  <c r="FL133" i="7"/>
  <c r="FM133" i="7" s="1"/>
  <c r="FL141" i="7"/>
  <c r="FM141" i="7" s="1"/>
  <c r="FL149" i="7"/>
  <c r="FM149" i="7" s="1"/>
  <c r="FQ24" i="7"/>
  <c r="FL72" i="7"/>
  <c r="FM72" i="7" s="1"/>
  <c r="FL78" i="7"/>
  <c r="FM78" i="7" s="1"/>
  <c r="FL114" i="7"/>
  <c r="FM114" i="7" s="1"/>
  <c r="FL92" i="7"/>
  <c r="FM92" i="7" s="1"/>
  <c r="FL100" i="7"/>
  <c r="FM100" i="7" s="1"/>
  <c r="FL108" i="7"/>
  <c r="FM108" i="7" s="1"/>
  <c r="FL118" i="7"/>
  <c r="FM118" i="7" s="1"/>
  <c r="FL126" i="7"/>
  <c r="FM126" i="7" s="1"/>
  <c r="FL134" i="7"/>
  <c r="FM134" i="7" s="1"/>
  <c r="FL142" i="7"/>
  <c r="FM142" i="7" s="1"/>
  <c r="FL150" i="7"/>
  <c r="FM150" i="7" s="1"/>
  <c r="GC20" i="7"/>
  <c r="FL76" i="7"/>
  <c r="FM76" i="7" s="1"/>
  <c r="FL85" i="7"/>
  <c r="FM85" i="7" s="1"/>
  <c r="FL93" i="7"/>
  <c r="FM93" i="7" s="1"/>
  <c r="FL101" i="7"/>
  <c r="FM101" i="7" s="1"/>
  <c r="FL109" i="7"/>
  <c r="FM109" i="7" s="1"/>
  <c r="FL119" i="7"/>
  <c r="FM119" i="7" s="1"/>
  <c r="FL127" i="7"/>
  <c r="FM127" i="7" s="1"/>
  <c r="FL135" i="7"/>
  <c r="FM135" i="7" s="1"/>
  <c r="FL143" i="7"/>
  <c r="FM143" i="7" s="1"/>
  <c r="FL151" i="7"/>
  <c r="FM151" i="7" s="1"/>
  <c r="FL86" i="7"/>
  <c r="FM86" i="7" s="1"/>
  <c r="FL94" i="7"/>
  <c r="FM94" i="7" s="1"/>
  <c r="FL102" i="7"/>
  <c r="FM102" i="7" s="1"/>
  <c r="FL110" i="7"/>
  <c r="FM110" i="7" s="1"/>
  <c r="FL120" i="7"/>
  <c r="FM120" i="7" s="1"/>
  <c r="FL128" i="7"/>
  <c r="FM128" i="7" s="1"/>
  <c r="FL136" i="7"/>
  <c r="FM136" i="7" s="1"/>
  <c r="FL144" i="7"/>
  <c r="FM144" i="7" s="1"/>
  <c r="FL152" i="7"/>
  <c r="FM152" i="7" s="1"/>
  <c r="AQ63" i="7"/>
  <c r="AT63" i="7"/>
  <c r="GC18" i="7"/>
  <c r="GC33" i="7"/>
  <c r="FL70" i="7"/>
  <c r="FM70" i="7" s="1"/>
  <c r="FL87" i="7"/>
  <c r="FM87" i="7" s="1"/>
  <c r="FL95" i="7"/>
  <c r="FM95" i="7" s="1"/>
  <c r="FL103" i="7"/>
  <c r="FM103" i="7" s="1"/>
  <c r="FL111" i="7"/>
  <c r="FM111" i="7" s="1"/>
  <c r="FL121" i="7"/>
  <c r="FM121" i="7" s="1"/>
  <c r="FL129" i="7"/>
  <c r="FM129" i="7" s="1"/>
  <c r="FL137" i="7"/>
  <c r="FM137" i="7" s="1"/>
  <c r="FL145" i="7"/>
  <c r="FM145" i="7" s="1"/>
  <c r="FL153" i="7"/>
  <c r="FM153" i="7" s="1"/>
  <c r="AF71" i="7"/>
  <c r="CT39" i="7"/>
  <c r="CU39" i="7" s="1"/>
  <c r="FL75" i="7"/>
  <c r="FM75" i="7" s="1"/>
  <c r="FL88" i="7"/>
  <c r="FM88" i="7" s="1"/>
  <c r="FL96" i="7"/>
  <c r="FM96" i="7" s="1"/>
  <c r="FL104" i="7"/>
  <c r="FM104" i="7" s="1"/>
  <c r="FL112" i="7"/>
  <c r="FM112" i="7" s="1"/>
  <c r="FL122" i="7"/>
  <c r="FM122" i="7" s="1"/>
  <c r="FL130" i="7"/>
  <c r="FM130" i="7" s="1"/>
  <c r="FL138" i="7"/>
  <c r="FM138" i="7" s="1"/>
  <c r="FL146" i="7"/>
  <c r="FM146" i="7" s="1"/>
  <c r="AQ61" i="7"/>
  <c r="AT53" i="7"/>
  <c r="AQ53" i="7"/>
  <c r="A9" i="11"/>
  <c r="F9" i="11"/>
  <c r="B116" i="8"/>
  <c r="B132" i="8"/>
  <c r="EZ69" i="7"/>
  <c r="FQ69" i="7" s="1"/>
  <c r="B64" i="8"/>
  <c r="GC55" i="7"/>
  <c r="EV55" i="7"/>
  <c r="EV27" i="7"/>
  <c r="EV19" i="7"/>
  <c r="EV36" i="7"/>
  <c r="AT54" i="7"/>
  <c r="EV51" i="7"/>
  <c r="GC43" i="7"/>
  <c r="EV43" i="7"/>
  <c r="AU54" i="7"/>
  <c r="EV38" i="7"/>
  <c r="AT70" i="7"/>
  <c r="AQ70" i="7"/>
  <c r="EV31" i="7"/>
  <c r="GC51" i="7"/>
  <c r="GC21" i="7"/>
  <c r="EV42" i="7"/>
  <c r="EV39" i="7"/>
  <c r="AT66" i="7"/>
  <c r="AU66" i="7"/>
  <c r="EV34" i="7"/>
  <c r="FS55" i="7"/>
  <c r="GC25" i="7"/>
  <c r="EV25" i="7"/>
  <c r="EV20" i="7"/>
  <c r="EV35" i="7"/>
  <c r="GC29" i="7"/>
  <c r="EV29" i="7"/>
  <c r="EV23" i="7"/>
  <c r="AT67" i="7"/>
  <c r="FL77" i="7"/>
  <c r="FM77" i="7" s="1"/>
  <c r="FL79" i="7"/>
  <c r="FM79" i="7" s="1"/>
  <c r="FL81" i="7"/>
  <c r="FM81" i="7" s="1"/>
  <c r="FL83" i="7"/>
  <c r="FM83" i="7" s="1"/>
  <c r="FL74" i="7"/>
  <c r="FM74" i="7" s="1"/>
  <c r="GC32" i="7"/>
  <c r="EV32" i="7"/>
  <c r="AT51" i="7"/>
  <c r="AQ51" i="7"/>
  <c r="GC63" i="7"/>
  <c r="EV63" i="7"/>
  <c r="GC45" i="7"/>
  <c r="EV45" i="7"/>
  <c r="EV24" i="7"/>
  <c r="EV28" i="7"/>
  <c r="FS24" i="7"/>
  <c r="B131" i="8"/>
  <c r="B130" i="8"/>
  <c r="AU56" i="7"/>
  <c r="AT56" i="7"/>
  <c r="AQ56" i="7"/>
  <c r="A29" i="8"/>
  <c r="AT49" i="7"/>
  <c r="AT48" i="7"/>
  <c r="AU48" i="7"/>
  <c r="AQ48" i="7"/>
  <c r="A75" i="8"/>
  <c r="A93" i="8"/>
  <c r="A23" i="8"/>
  <c r="AQ65" i="7"/>
  <c r="AQ49" i="7"/>
  <c r="AU60" i="7"/>
  <c r="AQ60" i="7"/>
  <c r="AT60" i="7"/>
  <c r="A76" i="8"/>
  <c r="B108" i="8"/>
  <c r="AQ74" i="7"/>
  <c r="AU74" i="7"/>
  <c r="AT74" i="7"/>
  <c r="AT65" i="7"/>
  <c r="A2" i="8"/>
  <c r="A77" i="8"/>
  <c r="A35" i="8"/>
  <c r="CT42" i="7"/>
  <c r="CU42" i="7" s="1"/>
  <c r="AF42" i="7"/>
  <c r="FQ60" i="7"/>
  <c r="FR60" i="7"/>
  <c r="FR46" i="7"/>
  <c r="FS46" i="7" s="1"/>
  <c r="FQ46" i="7"/>
  <c r="FR65" i="7"/>
  <c r="FQ65" i="7"/>
  <c r="AF64" i="7"/>
  <c r="CT64" i="7"/>
  <c r="CU64" i="7" s="1"/>
  <c r="GC34" i="7"/>
  <c r="FQ30" i="7"/>
  <c r="FR30" i="7"/>
  <c r="FS30" i="7" s="1"/>
  <c r="EU60" i="7"/>
  <c r="GC60" i="7" s="1"/>
  <c r="ES60" i="7"/>
  <c r="ES47" i="7"/>
  <c r="EU47" i="7"/>
  <c r="FQ52" i="7"/>
  <c r="FR52" i="7"/>
  <c r="EU59" i="7"/>
  <c r="EV59" i="7" s="1"/>
  <c r="ES59" i="7"/>
  <c r="FQ48" i="7"/>
  <c r="FR48" i="7"/>
  <c r="FQ68" i="7"/>
  <c r="FR68" i="7"/>
  <c r="FR40" i="7"/>
  <c r="FS40" i="7" s="1"/>
  <c r="FQ40" i="7"/>
  <c r="FR39" i="7"/>
  <c r="FS39" i="7" s="1"/>
  <c r="FQ39" i="7"/>
  <c r="FR35" i="7"/>
  <c r="FS35" i="7" s="1"/>
  <c r="FQ35" i="7"/>
  <c r="FR37" i="7"/>
  <c r="FS37" i="7" s="1"/>
  <c r="FQ37" i="7"/>
  <c r="GC38" i="7"/>
  <c r="EU64" i="7"/>
  <c r="ES64" i="7"/>
  <c r="EU48" i="7"/>
  <c r="GC48" i="7" s="1"/>
  <c r="ES48" i="7"/>
  <c r="FR43" i="7"/>
  <c r="FS43" i="7" s="1"/>
  <c r="FQ43" i="7"/>
  <c r="FQ41" i="7"/>
  <c r="FR41" i="7"/>
  <c r="FS41" i="7" s="1"/>
  <c r="FR36" i="7"/>
  <c r="FS36" i="7" s="1"/>
  <c r="FQ36" i="7"/>
  <c r="FR57" i="7"/>
  <c r="FQ57" i="7"/>
  <c r="EU56" i="7"/>
  <c r="ES56" i="7"/>
  <c r="ES65" i="7"/>
  <c r="EU65" i="7"/>
  <c r="ES49" i="7"/>
  <c r="EU49" i="7"/>
  <c r="AF56" i="7"/>
  <c r="CT56" i="7"/>
  <c r="CU56" i="7" s="1"/>
  <c r="FQ42" i="7"/>
  <c r="FR42" i="7"/>
  <c r="FS42" i="7" s="1"/>
  <c r="FQ56" i="7"/>
  <c r="FR56" i="7"/>
  <c r="EU67" i="7"/>
  <c r="ES67" i="7"/>
  <c r="AF52" i="7"/>
  <c r="CT52" i="7"/>
  <c r="CU52" i="7" s="1"/>
  <c r="AP5" i="7"/>
  <c r="B20" i="8" s="1"/>
  <c r="GC27" i="7"/>
  <c r="FR53" i="7"/>
  <c r="FQ53" i="7"/>
  <c r="GC39" i="7"/>
  <c r="GC35" i="7"/>
  <c r="GC36" i="7"/>
  <c r="FQ26" i="7"/>
  <c r="FR26" i="7"/>
  <c r="FS26" i="7" s="1"/>
  <c r="GC37" i="7"/>
  <c r="ES57" i="7"/>
  <c r="EU57" i="7"/>
  <c r="ES61" i="7"/>
  <c r="EU61" i="7"/>
  <c r="FR61" i="7"/>
  <c r="FQ61" i="7"/>
  <c r="EU68" i="7"/>
  <c r="ES68" i="7"/>
  <c r="EU52" i="7"/>
  <c r="GC52" i="7" s="1"/>
  <c r="ES52" i="7"/>
  <c r="ES53" i="7"/>
  <c r="EU53" i="7"/>
  <c r="EU66" i="7"/>
  <c r="ES66" i="7"/>
  <c r="EU62" i="7"/>
  <c r="ES62" i="7"/>
  <c r="AS5" i="7"/>
  <c r="B18" i="8" s="1"/>
  <c r="EU58" i="7"/>
  <c r="ES58" i="7"/>
  <c r="EU54" i="7"/>
  <c r="ES54" i="7"/>
  <c r="EU50" i="7"/>
  <c r="ES50" i="7"/>
  <c r="AF68" i="7"/>
  <c r="CT68" i="7"/>
  <c r="CU68" i="7" s="1"/>
  <c r="FQ64" i="7"/>
  <c r="FR64" i="7"/>
  <c r="FR49" i="7"/>
  <c r="FQ49" i="7"/>
  <c r="FQ45" i="7"/>
  <c r="FR45" i="7"/>
  <c r="FS45" i="7" s="1"/>
  <c r="EU69" i="7"/>
  <c r="GC69" i="7" s="1"/>
  <c r="ET69" i="7"/>
  <c r="ES69" i="7"/>
  <c r="FR69" i="7"/>
  <c r="FR63" i="7"/>
  <c r="FS63" i="7" s="1"/>
  <c r="FQ63" i="7"/>
  <c r="AF60" i="7"/>
  <c r="CT60" i="7"/>
  <c r="CU60" i="7" s="1"/>
  <c r="FR59" i="7"/>
  <c r="FQ59" i="7"/>
  <c r="FR51" i="7"/>
  <c r="FS51" i="7" s="1"/>
  <c r="FQ51" i="7"/>
  <c r="AF74" i="7"/>
  <c r="CT74" i="7"/>
  <c r="CU74" i="7" s="1"/>
  <c r="GC19" i="7"/>
  <c r="FQ22" i="7"/>
  <c r="FR22" i="7"/>
  <c r="FS22" i="7" s="1"/>
  <c r="FR34" i="7"/>
  <c r="FS34" i="7" s="1"/>
  <c r="FQ34" i="7"/>
  <c r="FR38" i="7"/>
  <c r="FS38" i="7" s="1"/>
  <c r="FQ38" i="7"/>
  <c r="FS29" i="7"/>
  <c r="I145" i="4"/>
  <c r="IB74" i="7" l="1"/>
  <c r="IC74" i="7"/>
  <c r="ID74" i="7"/>
  <c r="DI76" i="7"/>
  <c r="ID75" i="7"/>
  <c r="GR74" i="7"/>
  <c r="HW74" i="7" s="1"/>
  <c r="GT74" i="7"/>
  <c r="GQ83" i="7"/>
  <c r="GQ5" i="7" s="1"/>
  <c r="GL107" i="7"/>
  <c r="GL116" i="7"/>
  <c r="GL89" i="7"/>
  <c r="GL110" i="7"/>
  <c r="GL86" i="7"/>
  <c r="GL97" i="7"/>
  <c r="GL151" i="7"/>
  <c r="GL152" i="7"/>
  <c r="GL109" i="7"/>
  <c r="GN138" i="7"/>
  <c r="GL138" i="7"/>
  <c r="GL102" i="7"/>
  <c r="GN80" i="7"/>
  <c r="GL80" i="7"/>
  <c r="GN118" i="7"/>
  <c r="GL118" i="7"/>
  <c r="GN95" i="7"/>
  <c r="GL95" i="7"/>
  <c r="GN133" i="7"/>
  <c r="GL133" i="7"/>
  <c r="GN84" i="7"/>
  <c r="GL84" i="7"/>
  <c r="GN156" i="7"/>
  <c r="GL156" i="7"/>
  <c r="GN91" i="7"/>
  <c r="GL91" i="7"/>
  <c r="GN130" i="7"/>
  <c r="GL130" i="7"/>
  <c r="GN115" i="7"/>
  <c r="GL115" i="7"/>
  <c r="GN129" i="7"/>
  <c r="GL129" i="7"/>
  <c r="GN153" i="7"/>
  <c r="GL153" i="7"/>
  <c r="GN98" i="7"/>
  <c r="GL98" i="7"/>
  <c r="GN79" i="7"/>
  <c r="GL79" i="7"/>
  <c r="GN148" i="7"/>
  <c r="GL148" i="7"/>
  <c r="GN85" i="7"/>
  <c r="GL85" i="7"/>
  <c r="GN155" i="7"/>
  <c r="GL155" i="7"/>
  <c r="GN119" i="7"/>
  <c r="GL119" i="7"/>
  <c r="GN126" i="7"/>
  <c r="GL126" i="7"/>
  <c r="GN132" i="7"/>
  <c r="GL132" i="7"/>
  <c r="GN127" i="7"/>
  <c r="GL127" i="7"/>
  <c r="GN114" i="7"/>
  <c r="GL114" i="7"/>
  <c r="GN149" i="7"/>
  <c r="GL149" i="7"/>
  <c r="GN136" i="7"/>
  <c r="GL136" i="7"/>
  <c r="GN99" i="7"/>
  <c r="GL99" i="7"/>
  <c r="GN81" i="7"/>
  <c r="GL81" i="7"/>
  <c r="GN113" i="7"/>
  <c r="GL113" i="7"/>
  <c r="GN137" i="7"/>
  <c r="GL137" i="7"/>
  <c r="GN131" i="7"/>
  <c r="GL131" i="7"/>
  <c r="GN106" i="7"/>
  <c r="GL106" i="7"/>
  <c r="GN77" i="7"/>
  <c r="GL77" i="7"/>
  <c r="GN134" i="7"/>
  <c r="GL134" i="7"/>
  <c r="GN96" i="7"/>
  <c r="GL96" i="7"/>
  <c r="GN100" i="7"/>
  <c r="GL100" i="7"/>
  <c r="GN108" i="7"/>
  <c r="GL108" i="7"/>
  <c r="GN124" i="7"/>
  <c r="GL124" i="7"/>
  <c r="GN90" i="7"/>
  <c r="GL90" i="7"/>
  <c r="GN125" i="7"/>
  <c r="GL125" i="7"/>
  <c r="GN111" i="7"/>
  <c r="GL111" i="7"/>
  <c r="GN94" i="7"/>
  <c r="GL94" i="7"/>
  <c r="GN141" i="7"/>
  <c r="GL141" i="7"/>
  <c r="GN83" i="7"/>
  <c r="GL83" i="7"/>
  <c r="GN88" i="7"/>
  <c r="GL88" i="7"/>
  <c r="GN78" i="7"/>
  <c r="GL78" i="7"/>
  <c r="GN142" i="7"/>
  <c r="GL142" i="7"/>
  <c r="GN154" i="7"/>
  <c r="GL154" i="7"/>
  <c r="GN150" i="7"/>
  <c r="GL150" i="7"/>
  <c r="GN76" i="7"/>
  <c r="GL76" i="7"/>
  <c r="GN121" i="7"/>
  <c r="GL121" i="7"/>
  <c r="GN135" i="7"/>
  <c r="GL135" i="7"/>
  <c r="GN147" i="7"/>
  <c r="GL147" i="7"/>
  <c r="GN93" i="7"/>
  <c r="GL93" i="7"/>
  <c r="GN112" i="7"/>
  <c r="GL112" i="7"/>
  <c r="GN82" i="7"/>
  <c r="GL82" i="7"/>
  <c r="GN105" i="7"/>
  <c r="GL105" i="7"/>
  <c r="GN128" i="7"/>
  <c r="GL128" i="7"/>
  <c r="GN145" i="7"/>
  <c r="GL145" i="7"/>
  <c r="GN140" i="7"/>
  <c r="GL140" i="7"/>
  <c r="GN139" i="7"/>
  <c r="GL139" i="7"/>
  <c r="GN104" i="7"/>
  <c r="GL104" i="7"/>
  <c r="GN122" i="7"/>
  <c r="GL122" i="7"/>
  <c r="GN120" i="7"/>
  <c r="GL120" i="7"/>
  <c r="GN101" i="7"/>
  <c r="GL101" i="7"/>
  <c r="GN146" i="7"/>
  <c r="GL146" i="7"/>
  <c r="GN117" i="7"/>
  <c r="GL117" i="7"/>
  <c r="GN123" i="7"/>
  <c r="GL123" i="7"/>
  <c r="GN87" i="7"/>
  <c r="GL87" i="7"/>
  <c r="GN143" i="7"/>
  <c r="GL143" i="7"/>
  <c r="GN92" i="7"/>
  <c r="GL92" i="7"/>
  <c r="GN103" i="7"/>
  <c r="GL103" i="7"/>
  <c r="GN144" i="7"/>
  <c r="GL144" i="7"/>
  <c r="AX76" i="7"/>
  <c r="AY76" i="7" s="1"/>
  <c r="GT75" i="7"/>
  <c r="EQ70" i="7"/>
  <c r="FO70" i="7" s="1"/>
  <c r="FP70" i="7" s="1"/>
  <c r="FR70" i="7" s="1"/>
  <c r="GR75" i="7"/>
  <c r="FD77" i="7"/>
  <c r="FS69" i="7"/>
  <c r="FC79" i="7"/>
  <c r="FD78" i="7"/>
  <c r="EX71" i="7"/>
  <c r="EX79" i="7"/>
  <c r="EX87" i="7"/>
  <c r="EX95" i="7"/>
  <c r="EX103" i="7"/>
  <c r="EX111" i="7"/>
  <c r="EX119" i="7"/>
  <c r="EX127" i="7"/>
  <c r="EX135" i="7"/>
  <c r="EX143" i="7"/>
  <c r="EX151" i="7"/>
  <c r="EX100" i="7"/>
  <c r="EX156" i="7"/>
  <c r="EX93" i="7"/>
  <c r="EX133" i="7"/>
  <c r="EX72" i="7"/>
  <c r="EX80" i="7"/>
  <c r="EX88" i="7"/>
  <c r="EX96" i="7"/>
  <c r="EX104" i="7"/>
  <c r="EX112" i="7"/>
  <c r="EX120" i="7"/>
  <c r="EX128" i="7"/>
  <c r="EX136" i="7"/>
  <c r="EX144" i="7"/>
  <c r="EX152" i="7"/>
  <c r="EX92" i="7"/>
  <c r="EX124" i="7"/>
  <c r="EX77" i="7"/>
  <c r="EX125" i="7"/>
  <c r="EX78" i="7"/>
  <c r="EX118" i="7"/>
  <c r="EX73" i="7"/>
  <c r="EX81" i="7"/>
  <c r="EX89" i="7"/>
  <c r="EX97" i="7"/>
  <c r="EX105" i="7"/>
  <c r="EX113" i="7"/>
  <c r="EX121" i="7"/>
  <c r="EX129" i="7"/>
  <c r="EX137" i="7"/>
  <c r="EX145" i="7"/>
  <c r="EX153" i="7"/>
  <c r="EX84" i="7"/>
  <c r="EX132" i="7"/>
  <c r="EX85" i="7"/>
  <c r="EX117" i="7"/>
  <c r="EX149" i="7"/>
  <c r="EX94" i="7"/>
  <c r="EX110" i="7"/>
  <c r="EX126" i="7"/>
  <c r="EX150" i="7"/>
  <c r="EX74" i="7"/>
  <c r="EX82" i="7"/>
  <c r="EX90" i="7"/>
  <c r="EX98" i="7"/>
  <c r="EX106" i="7"/>
  <c r="EX114" i="7"/>
  <c r="EX122" i="7"/>
  <c r="EX130" i="7"/>
  <c r="EX138" i="7"/>
  <c r="EX146" i="7"/>
  <c r="EX154" i="7"/>
  <c r="EX148" i="7"/>
  <c r="EX101" i="7"/>
  <c r="EX141" i="7"/>
  <c r="EX86" i="7"/>
  <c r="EX142" i="7"/>
  <c r="EX75" i="7"/>
  <c r="EX83" i="7"/>
  <c r="EX91" i="7"/>
  <c r="EX99" i="7"/>
  <c r="EX107" i="7"/>
  <c r="EX115" i="7"/>
  <c r="EX123" i="7"/>
  <c r="EX131" i="7"/>
  <c r="EX139" i="7"/>
  <c r="EX147" i="7"/>
  <c r="EX155" i="7"/>
  <c r="EX76" i="7"/>
  <c r="EX108" i="7"/>
  <c r="EX116" i="7"/>
  <c r="EX140" i="7"/>
  <c r="EX109" i="7"/>
  <c r="EX70" i="7"/>
  <c r="EY70" i="7" s="1"/>
  <c r="EZ70" i="7" s="1"/>
  <c r="EX102" i="7"/>
  <c r="EX134" i="7"/>
  <c r="EO71" i="7"/>
  <c r="EQ71" i="7" s="1"/>
  <c r="FO71" i="7" s="1"/>
  <c r="FP71" i="7" s="1"/>
  <c r="FR71" i="7" s="1"/>
  <c r="EO72" i="7"/>
  <c r="EI71" i="7"/>
  <c r="EI72" i="7"/>
  <c r="EH74" i="7"/>
  <c r="EI73" i="7"/>
  <c r="EO155" i="7"/>
  <c r="EQ155" i="7" s="1"/>
  <c r="FO155" i="7" s="1"/>
  <c r="FP155" i="7" s="1"/>
  <c r="AV5" i="7"/>
  <c r="AX82" i="7"/>
  <c r="AY82" i="7" s="1"/>
  <c r="BA74" i="7"/>
  <c r="FS61" i="7"/>
  <c r="FS59" i="7"/>
  <c r="GC59" i="7"/>
  <c r="CJ77" i="7"/>
  <c r="GC62" i="7"/>
  <c r="EV62" i="7"/>
  <c r="GC68" i="7"/>
  <c r="EV68" i="7"/>
  <c r="ES5" i="7"/>
  <c r="B63" i="8" s="1"/>
  <c r="ET70" i="7" s="1"/>
  <c r="ET71" i="7" s="1"/>
  <c r="ET72" i="7" s="1"/>
  <c r="ET73" i="7" s="1"/>
  <c r="ET74" i="7" s="1"/>
  <c r="ET75" i="7" s="1"/>
  <c r="ET76" i="7" s="1"/>
  <c r="ET77" i="7" s="1"/>
  <c r="ET78" i="7" s="1"/>
  <c r="ET79" i="7" s="1"/>
  <c r="ET80" i="7" s="1"/>
  <c r="ET81" i="7" s="1"/>
  <c r="ET82" i="7" s="1"/>
  <c r="ET83" i="7" s="1"/>
  <c r="ET84" i="7" s="1"/>
  <c r="ET85" i="7" s="1"/>
  <c r="ET86" i="7" s="1"/>
  <c r="ET87" i="7" s="1"/>
  <c r="ET88" i="7" s="1"/>
  <c r="ET89" i="7" s="1"/>
  <c r="ET90" i="7" s="1"/>
  <c r="ET91" i="7" s="1"/>
  <c r="ET92" i="7" s="1"/>
  <c r="ET93" i="7" s="1"/>
  <c r="ET94" i="7" s="1"/>
  <c r="ET95" i="7" s="1"/>
  <c r="ET96" i="7" s="1"/>
  <c r="ET97" i="7" s="1"/>
  <c r="ET98" i="7" s="1"/>
  <c r="ET99" i="7" s="1"/>
  <c r="ET100" i="7" s="1"/>
  <c r="ET101" i="7" s="1"/>
  <c r="ET102" i="7" s="1"/>
  <c r="ET103" i="7" s="1"/>
  <c r="ET104" i="7" s="1"/>
  <c r="ET105" i="7" s="1"/>
  <c r="ET106" i="7" s="1"/>
  <c r="ET107" i="7" s="1"/>
  <c r="ET108" i="7" s="1"/>
  <c r="ET109" i="7" s="1"/>
  <c r="ET110" i="7" s="1"/>
  <c r="ET111" i="7" s="1"/>
  <c r="ET112" i="7" s="1"/>
  <c r="ET113" i="7" s="1"/>
  <c r="ET114" i="7" s="1"/>
  <c r="ET115" i="7" s="1"/>
  <c r="ET116" i="7" s="1"/>
  <c r="ET117" i="7" s="1"/>
  <c r="ET118" i="7" s="1"/>
  <c r="ET119" i="7" s="1"/>
  <c r="ET120" i="7" s="1"/>
  <c r="ET121" i="7" s="1"/>
  <c r="ET122" i="7" s="1"/>
  <c r="ET123" i="7" s="1"/>
  <c r="ET124" i="7" s="1"/>
  <c r="ET125" i="7" s="1"/>
  <c r="ET126" i="7" s="1"/>
  <c r="ET127" i="7" s="1"/>
  <c r="ET128" i="7" s="1"/>
  <c r="ET129" i="7" s="1"/>
  <c r="ET130" i="7" s="1"/>
  <c r="ET131" i="7" s="1"/>
  <c r="ET132" i="7" s="1"/>
  <c r="ET133" i="7" s="1"/>
  <c r="ET134" i="7" s="1"/>
  <c r="ET135" i="7" s="1"/>
  <c r="ET136" i="7" s="1"/>
  <c r="ET137" i="7" s="1"/>
  <c r="ET138" i="7" s="1"/>
  <c r="ET139" i="7" s="1"/>
  <c r="ET140" i="7" s="1"/>
  <c r="ET141" i="7" s="1"/>
  <c r="ET142" i="7" s="1"/>
  <c r="ET143" i="7" s="1"/>
  <c r="ET144" i="7" s="1"/>
  <c r="ET145" i="7" s="1"/>
  <c r="ET146" i="7" s="1"/>
  <c r="ET147" i="7" s="1"/>
  <c r="ET148" i="7" s="1"/>
  <c r="ET149" i="7" s="1"/>
  <c r="ET150" i="7" s="1"/>
  <c r="ET151" i="7" s="1"/>
  <c r="ET152" i="7" s="1"/>
  <c r="ET153" i="7" s="1"/>
  <c r="ET154" i="7" s="1"/>
  <c r="ET155" i="7" s="1"/>
  <c r="ET156" i="7" s="1"/>
  <c r="EV60" i="7"/>
  <c r="GC66" i="7"/>
  <c r="EV66" i="7"/>
  <c r="EV65" i="7"/>
  <c r="GC64" i="7"/>
  <c r="EV64" i="7"/>
  <c r="FS64" i="7"/>
  <c r="GC54" i="7"/>
  <c r="EV54" i="7"/>
  <c r="GC53" i="7"/>
  <c r="EV53" i="7"/>
  <c r="AQ5" i="7"/>
  <c r="B21" i="8" s="1"/>
  <c r="B37" i="8" s="1"/>
  <c r="EV48" i="7"/>
  <c r="GC65" i="7"/>
  <c r="GC56" i="7"/>
  <c r="EV56" i="7"/>
  <c r="GC49" i="7"/>
  <c r="EV49" i="7"/>
  <c r="FS49" i="7"/>
  <c r="FS62" i="7"/>
  <c r="EV69" i="7"/>
  <c r="FT49" i="7"/>
  <c r="FV49" i="7" s="1"/>
  <c r="FX49" i="7" s="1"/>
  <c r="FY49" i="7" s="1"/>
  <c r="FZ49" i="7" s="1"/>
  <c r="GC58" i="7"/>
  <c r="EV58" i="7"/>
  <c r="GC57" i="7"/>
  <c r="EV57" i="7"/>
  <c r="EV67" i="7"/>
  <c r="GC47" i="7"/>
  <c r="EV47" i="7"/>
  <c r="FS65" i="7"/>
  <c r="GC50" i="7"/>
  <c r="EV50" i="7"/>
  <c r="EV52" i="7"/>
  <c r="GC61" i="7"/>
  <c r="EV61" i="7"/>
  <c r="AF5" i="7"/>
  <c r="FS58" i="7"/>
  <c r="CJ78" i="7"/>
  <c r="FS56" i="7"/>
  <c r="FS48" i="7"/>
  <c r="FS47" i="7"/>
  <c r="FS50" i="7"/>
  <c r="FS66" i="7"/>
  <c r="GC67" i="7"/>
  <c r="FS67" i="7"/>
  <c r="IC75" i="7"/>
  <c r="IB75" i="7"/>
  <c r="FS57" i="7"/>
  <c r="FS52" i="7"/>
  <c r="FS60" i="7"/>
  <c r="FR73" i="7"/>
  <c r="FS54" i="7"/>
  <c r="FS53" i="7"/>
  <c r="FS68" i="7"/>
  <c r="I146" i="4"/>
  <c r="DI77" i="7" l="1"/>
  <c r="ID76" i="7"/>
  <c r="GT76" i="7"/>
  <c r="FQ70" i="7"/>
  <c r="EQ72" i="7"/>
  <c r="FO72" i="7" s="1"/>
  <c r="FP72" i="7" s="1"/>
  <c r="FR72" i="7" s="1"/>
  <c r="HW75" i="7"/>
  <c r="GR76" i="7"/>
  <c r="EY73" i="7"/>
  <c r="EZ73" i="7" s="1"/>
  <c r="FQ73" i="7" s="1"/>
  <c r="EY71" i="7"/>
  <c r="EZ71" i="7" s="1"/>
  <c r="FQ71" i="7" s="1"/>
  <c r="EY72" i="7"/>
  <c r="EZ72" i="7" s="1"/>
  <c r="EY75" i="7"/>
  <c r="EY76" i="7" s="1"/>
  <c r="EY77" i="7" s="1"/>
  <c r="EY78" i="7" s="1"/>
  <c r="EY79" i="7" s="1"/>
  <c r="EY80" i="7" s="1"/>
  <c r="EY81" i="7" s="1"/>
  <c r="EY82" i="7" s="1"/>
  <c r="EY83" i="7" s="1"/>
  <c r="EY84" i="7" s="1"/>
  <c r="EY85" i="7" s="1"/>
  <c r="EY86" i="7" s="1"/>
  <c r="EY87" i="7" s="1"/>
  <c r="EY88" i="7" s="1"/>
  <c r="EY89" i="7" s="1"/>
  <c r="EY90" i="7" s="1"/>
  <c r="EY91" i="7" s="1"/>
  <c r="EY92" i="7" s="1"/>
  <c r="EY93" i="7" s="1"/>
  <c r="EY94" i="7" s="1"/>
  <c r="EY95" i="7" s="1"/>
  <c r="EY96" i="7" s="1"/>
  <c r="EY97" i="7" s="1"/>
  <c r="EY98" i="7" s="1"/>
  <c r="EY99" i="7" s="1"/>
  <c r="EY100" i="7" s="1"/>
  <c r="EY101" i="7" s="1"/>
  <c r="EY102" i="7" s="1"/>
  <c r="EY103" i="7" s="1"/>
  <c r="EY104" i="7" s="1"/>
  <c r="EY105" i="7" s="1"/>
  <c r="EY106" i="7" s="1"/>
  <c r="EY107" i="7" s="1"/>
  <c r="EY108" i="7" s="1"/>
  <c r="EY109" i="7" s="1"/>
  <c r="EY110" i="7" s="1"/>
  <c r="EY111" i="7" s="1"/>
  <c r="EY112" i="7" s="1"/>
  <c r="EY113" i="7" s="1"/>
  <c r="EY114" i="7" s="1"/>
  <c r="EY115" i="7" s="1"/>
  <c r="EY116" i="7" s="1"/>
  <c r="EY117" i="7" s="1"/>
  <c r="EY118" i="7" s="1"/>
  <c r="EY119" i="7" s="1"/>
  <c r="EY120" i="7" s="1"/>
  <c r="EY121" i="7" s="1"/>
  <c r="EY122" i="7" s="1"/>
  <c r="EY123" i="7" s="1"/>
  <c r="EY124" i="7" s="1"/>
  <c r="EY125" i="7" s="1"/>
  <c r="EY126" i="7" s="1"/>
  <c r="EY127" i="7" s="1"/>
  <c r="EY128" i="7" s="1"/>
  <c r="EY129" i="7" s="1"/>
  <c r="EY130" i="7" s="1"/>
  <c r="EY131" i="7" s="1"/>
  <c r="EY132" i="7" s="1"/>
  <c r="EY133" i="7" s="1"/>
  <c r="EY134" i="7" s="1"/>
  <c r="EY135" i="7" s="1"/>
  <c r="EY136" i="7" s="1"/>
  <c r="EY137" i="7" s="1"/>
  <c r="EY138" i="7" s="1"/>
  <c r="EY139" i="7" s="1"/>
  <c r="EY140" i="7" s="1"/>
  <c r="EY141" i="7" s="1"/>
  <c r="EY142" i="7" s="1"/>
  <c r="EY143" i="7" s="1"/>
  <c r="EY144" i="7" s="1"/>
  <c r="EY145" i="7" s="1"/>
  <c r="EY146" i="7" s="1"/>
  <c r="EY147" i="7" s="1"/>
  <c r="EY148" i="7" s="1"/>
  <c r="EY149" i="7" s="1"/>
  <c r="EY150" i="7" s="1"/>
  <c r="EY151" i="7" s="1"/>
  <c r="EY152" i="7" s="1"/>
  <c r="EY153" i="7" s="1"/>
  <c r="EY154" i="7" s="1"/>
  <c r="EY155" i="7" s="1"/>
  <c r="EY156" i="7" s="1"/>
  <c r="EZ156" i="7" s="1"/>
  <c r="EY74" i="7"/>
  <c r="EZ74" i="7" s="1"/>
  <c r="FC80" i="7"/>
  <c r="FD79" i="7"/>
  <c r="EH75" i="7"/>
  <c r="EI74" i="7"/>
  <c r="EO74" i="7"/>
  <c r="EQ74" i="7" s="1"/>
  <c r="FO74" i="7" s="1"/>
  <c r="FP74" i="7" s="1"/>
  <c r="FR74" i="7" s="1"/>
  <c r="BA77" i="7"/>
  <c r="BA78" i="7"/>
  <c r="BA79" i="7"/>
  <c r="BA80" i="7"/>
  <c r="BA81" i="7"/>
  <c r="BA75" i="7"/>
  <c r="BA76" i="7"/>
  <c r="BA85" i="7"/>
  <c r="BA149" i="7"/>
  <c r="BA118" i="7"/>
  <c r="BA88" i="7"/>
  <c r="BA152" i="7"/>
  <c r="BA121" i="7"/>
  <c r="BA82" i="7"/>
  <c r="BA146" i="7"/>
  <c r="BA99" i="7"/>
  <c r="BA84" i="7"/>
  <c r="BA143" i="7"/>
  <c r="BA93" i="7"/>
  <c r="BA94" i="7"/>
  <c r="BA142" i="7"/>
  <c r="BA96" i="7"/>
  <c r="BA92" i="7"/>
  <c r="BA129" i="7"/>
  <c r="BA90" i="7"/>
  <c r="BA154" i="7"/>
  <c r="BA107" i="7"/>
  <c r="BA116" i="7"/>
  <c r="BA113" i="7"/>
  <c r="BA101" i="7"/>
  <c r="BA110" i="7"/>
  <c r="BA87" i="7"/>
  <c r="BA104" i="7"/>
  <c r="BA124" i="7"/>
  <c r="BA137" i="7"/>
  <c r="BA98" i="7"/>
  <c r="BA100" i="7"/>
  <c r="BA115" i="7"/>
  <c r="BA148" i="7"/>
  <c r="BA144" i="7"/>
  <c r="BA109" i="7"/>
  <c r="BA126" i="7"/>
  <c r="BA95" i="7"/>
  <c r="BA112" i="7"/>
  <c r="BA150" i="7"/>
  <c r="BA145" i="7"/>
  <c r="BA106" i="7"/>
  <c r="BA132" i="7"/>
  <c r="BA123" i="7"/>
  <c r="BA138" i="7"/>
  <c r="BA117" i="7"/>
  <c r="BA134" i="7"/>
  <c r="BA103" i="7"/>
  <c r="BA120" i="7"/>
  <c r="BA89" i="7"/>
  <c r="BA153" i="7"/>
  <c r="BA114" i="7"/>
  <c r="BA156" i="7"/>
  <c r="BA131" i="7"/>
  <c r="BA102" i="7"/>
  <c r="BA155" i="7"/>
  <c r="BA125" i="7"/>
  <c r="BA151" i="7"/>
  <c r="BA111" i="7"/>
  <c r="BA128" i="7"/>
  <c r="BA97" i="7"/>
  <c r="BA108" i="7"/>
  <c r="BA122" i="7"/>
  <c r="BA127" i="7"/>
  <c r="BA139" i="7"/>
  <c r="BA135" i="7"/>
  <c r="BA133" i="7"/>
  <c r="BA86" i="7"/>
  <c r="BA119" i="7"/>
  <c r="BA136" i="7"/>
  <c r="BA105" i="7"/>
  <c r="BA140" i="7"/>
  <c r="BA130" i="7"/>
  <c r="BA83" i="7"/>
  <c r="BA147" i="7"/>
  <c r="BA141" i="7"/>
  <c r="BA91" i="7"/>
  <c r="FT58" i="7"/>
  <c r="FV58" i="7" s="1"/>
  <c r="FX58" i="7" s="1"/>
  <c r="FY58" i="7" s="1"/>
  <c r="FZ58" i="7" s="1"/>
  <c r="FT67" i="7"/>
  <c r="FV67" i="7" s="1"/>
  <c r="FX67" i="7" s="1"/>
  <c r="FY67" i="7" s="1"/>
  <c r="FZ67" i="7" s="1"/>
  <c r="FT57" i="7"/>
  <c r="FV57" i="7" s="1"/>
  <c r="FX57" i="7" s="1"/>
  <c r="FY57" i="7" s="1"/>
  <c r="FZ57" i="7" s="1"/>
  <c r="FT48" i="7"/>
  <c r="FV48" i="7" s="1"/>
  <c r="FX48" i="7" s="1"/>
  <c r="FY48" i="7" s="1"/>
  <c r="FZ48" i="7" s="1"/>
  <c r="FT65" i="7"/>
  <c r="FV65" i="7" s="1"/>
  <c r="FT54" i="7"/>
  <c r="FV54" i="7" s="1"/>
  <c r="FX54" i="7" s="1"/>
  <c r="FY54" i="7" s="1"/>
  <c r="FZ54" i="7" s="1"/>
  <c r="FT52" i="7"/>
  <c r="FV52" i="7" s="1"/>
  <c r="FT56" i="7"/>
  <c r="FV56" i="7" s="1"/>
  <c r="FX56" i="7" s="1"/>
  <c r="FY56" i="7" s="1"/>
  <c r="FZ56" i="7" s="1"/>
  <c r="FT64" i="7"/>
  <c r="FV64" i="7" s="1"/>
  <c r="FX64" i="7" s="1"/>
  <c r="FY64" i="7" s="1"/>
  <c r="FZ64" i="7" s="1"/>
  <c r="FT66" i="7"/>
  <c r="FV66" i="7" s="1"/>
  <c r="FX66" i="7" s="1"/>
  <c r="FY66" i="7" s="1"/>
  <c r="FZ66" i="7" s="1"/>
  <c r="FT60" i="7"/>
  <c r="FV60" i="7" s="1"/>
  <c r="FX60" i="7" s="1"/>
  <c r="FY60" i="7" s="1"/>
  <c r="FZ60" i="7" s="1"/>
  <c r="FT47" i="7"/>
  <c r="FV47" i="7" s="1"/>
  <c r="GD49" i="7"/>
  <c r="GE49" i="7" s="1"/>
  <c r="FT68" i="7"/>
  <c r="FV68" i="7" s="1"/>
  <c r="FX68" i="7" s="1"/>
  <c r="FY68" i="7" s="1"/>
  <c r="FZ68" i="7" s="1"/>
  <c r="FT61" i="7"/>
  <c r="FV61" i="7" s="1"/>
  <c r="FT50" i="7"/>
  <c r="FV50" i="7" s="1"/>
  <c r="FX50" i="7" s="1"/>
  <c r="FY50" i="7" s="1"/>
  <c r="FZ50" i="7" s="1"/>
  <c r="FT69" i="7"/>
  <c r="FV69" i="7" s="1"/>
  <c r="FT59" i="7"/>
  <c r="FV59" i="7" s="1"/>
  <c r="FT26" i="7"/>
  <c r="FV26" i="7" s="1"/>
  <c r="FT22" i="7"/>
  <c r="FV22" i="7" s="1"/>
  <c r="FT29" i="7"/>
  <c r="FV29" i="7" s="1"/>
  <c r="FT33" i="7"/>
  <c r="FV33" i="7" s="1"/>
  <c r="FT40" i="7"/>
  <c r="FV40" i="7" s="1"/>
  <c r="FT46" i="7"/>
  <c r="FV46" i="7" s="1"/>
  <c r="FT44" i="7"/>
  <c r="FV44" i="7" s="1"/>
  <c r="FT41" i="7"/>
  <c r="FV41" i="7" s="1"/>
  <c r="FT25" i="7"/>
  <c r="FV25" i="7" s="1"/>
  <c r="FT18" i="7"/>
  <c r="FV18" i="7" s="1"/>
  <c r="FT17" i="7"/>
  <c r="FV17" i="7" s="1"/>
  <c r="FT30" i="7"/>
  <c r="FV30" i="7" s="1"/>
  <c r="FT45" i="7"/>
  <c r="FV45" i="7" s="1"/>
  <c r="FT37" i="7"/>
  <c r="FV37" i="7" s="1"/>
  <c r="FT21" i="7"/>
  <c r="FV21" i="7" s="1"/>
  <c r="FT39" i="7"/>
  <c r="FV39" i="7" s="1"/>
  <c r="FT35" i="7"/>
  <c r="FV35" i="7" s="1"/>
  <c r="FT28" i="7"/>
  <c r="FV28" i="7" s="1"/>
  <c r="FT32" i="7"/>
  <c r="FV32" i="7" s="1"/>
  <c r="FT27" i="7"/>
  <c r="FV27" i="7" s="1"/>
  <c r="FT55" i="7"/>
  <c r="FV55" i="7" s="1"/>
  <c r="FT51" i="7"/>
  <c r="FV51" i="7" s="1"/>
  <c r="FT38" i="7"/>
  <c r="FV38" i="7" s="1"/>
  <c r="FT19" i="7"/>
  <c r="FV19" i="7" s="1"/>
  <c r="FT63" i="7"/>
  <c r="FV63" i="7" s="1"/>
  <c r="FT43" i="7"/>
  <c r="FV43" i="7" s="1"/>
  <c r="FT42" i="7"/>
  <c r="FV42" i="7" s="1"/>
  <c r="FT23" i="7"/>
  <c r="FV23" i="7" s="1"/>
  <c r="FT24" i="7"/>
  <c r="FV24" i="7" s="1"/>
  <c r="FT36" i="7"/>
  <c r="FV36" i="7" s="1"/>
  <c r="FT31" i="7"/>
  <c r="FV31" i="7" s="1"/>
  <c r="FT34" i="7"/>
  <c r="FV34" i="7" s="1"/>
  <c r="FT20" i="7"/>
  <c r="FV20" i="7" s="1"/>
  <c r="FT62" i="7"/>
  <c r="FV62" i="7" s="1"/>
  <c r="FX62" i="7" s="1"/>
  <c r="FY62" i="7" s="1"/>
  <c r="FZ62" i="7" s="1"/>
  <c r="FT53" i="7"/>
  <c r="FV53" i="7" s="1"/>
  <c r="FX53" i="7" s="1"/>
  <c r="FY53" i="7" s="1"/>
  <c r="FZ53" i="7" s="1"/>
  <c r="CL93" i="7"/>
  <c r="CL88" i="7"/>
  <c r="CL83" i="7"/>
  <c r="CL120" i="7"/>
  <c r="CL118" i="7"/>
  <c r="CL136" i="7"/>
  <c r="CL144" i="7"/>
  <c r="CL152" i="7"/>
  <c r="CL92" i="7"/>
  <c r="CL84" i="7"/>
  <c r="CL103" i="7"/>
  <c r="CL112" i="7"/>
  <c r="CL129" i="7"/>
  <c r="CL145" i="7"/>
  <c r="CL101" i="7"/>
  <c r="CL79" i="7"/>
  <c r="CL99" i="7"/>
  <c r="CL123" i="7"/>
  <c r="CL128" i="7"/>
  <c r="CL148" i="7"/>
  <c r="CL86" i="7"/>
  <c r="CL80" i="7"/>
  <c r="CL124" i="7"/>
  <c r="CL122" i="7"/>
  <c r="CL137" i="7"/>
  <c r="CL153" i="7"/>
  <c r="CL85" i="7"/>
  <c r="CL90" i="7"/>
  <c r="CL94" i="7"/>
  <c r="CL77" i="7"/>
  <c r="CL81" i="7"/>
  <c r="CL87" i="7"/>
  <c r="CL108" i="7"/>
  <c r="CL107" i="7"/>
  <c r="CL98" i="7"/>
  <c r="CL115" i="7"/>
  <c r="CL113" i="7"/>
  <c r="CL125" i="7"/>
  <c r="CL126" i="7"/>
  <c r="CL130" i="7"/>
  <c r="CL134" i="7"/>
  <c r="CL138" i="7"/>
  <c r="CL142" i="7"/>
  <c r="CL146" i="7"/>
  <c r="CL150" i="7"/>
  <c r="CL154" i="7"/>
  <c r="CL97" i="7"/>
  <c r="CL100" i="7"/>
  <c r="CL106" i="7"/>
  <c r="CL117" i="7"/>
  <c r="CL132" i="7"/>
  <c r="CL140" i="7"/>
  <c r="CL156" i="7"/>
  <c r="CL109" i="7"/>
  <c r="CL76" i="7"/>
  <c r="CL104" i="7"/>
  <c r="CL110" i="7"/>
  <c r="CL121" i="7"/>
  <c r="CL133" i="7"/>
  <c r="CL141" i="7"/>
  <c r="CL149" i="7"/>
  <c r="CL75" i="7"/>
  <c r="CL89" i="7"/>
  <c r="CL105" i="7"/>
  <c r="CL96" i="7"/>
  <c r="CL78" i="7"/>
  <c r="CL82" i="7"/>
  <c r="CL91" i="7"/>
  <c r="CL95" i="7"/>
  <c r="CL111" i="7"/>
  <c r="CL102" i="7"/>
  <c r="CL119" i="7"/>
  <c r="CL114" i="7"/>
  <c r="CL116" i="7"/>
  <c r="CL127" i="7"/>
  <c r="CL131" i="7"/>
  <c r="CL135" i="7"/>
  <c r="CL139" i="7"/>
  <c r="CL143" i="7"/>
  <c r="CL147" i="7"/>
  <c r="CL151" i="7"/>
  <c r="CL155" i="7"/>
  <c r="IC76" i="7"/>
  <c r="IB76" i="7"/>
  <c r="CJ79" i="7"/>
  <c r="I147" i="4"/>
  <c r="DI78" i="7" l="1"/>
  <c r="ID77" i="7"/>
  <c r="GT77" i="7"/>
  <c r="FQ72" i="7"/>
  <c r="HY70" i="7"/>
  <c r="HY71" i="7"/>
  <c r="HY73" i="7"/>
  <c r="HW76" i="7"/>
  <c r="GR77" i="7"/>
  <c r="EZ96" i="7"/>
  <c r="EZ79" i="7"/>
  <c r="EZ81" i="7"/>
  <c r="EZ109" i="7"/>
  <c r="EZ83" i="7"/>
  <c r="EZ78" i="7"/>
  <c r="EZ110" i="7"/>
  <c r="EZ122" i="7"/>
  <c r="EZ125" i="7"/>
  <c r="EZ139" i="7"/>
  <c r="EZ114" i="7"/>
  <c r="EZ92" i="7"/>
  <c r="EZ90" i="7"/>
  <c r="EZ80" i="7"/>
  <c r="EZ75" i="7"/>
  <c r="EZ155" i="7"/>
  <c r="FQ155" i="7" s="1"/>
  <c r="EZ134" i="7"/>
  <c r="EZ88" i="7"/>
  <c r="EZ84" i="7"/>
  <c r="EZ121" i="7"/>
  <c r="EZ153" i="7"/>
  <c r="EZ77" i="7"/>
  <c r="EZ128" i="7"/>
  <c r="EZ95" i="7"/>
  <c r="EZ76" i="7"/>
  <c r="EZ152" i="7"/>
  <c r="EZ131" i="7"/>
  <c r="EZ117" i="7"/>
  <c r="EZ154" i="7"/>
  <c r="EZ97" i="7"/>
  <c r="EZ149" i="7"/>
  <c r="EZ103" i="7"/>
  <c r="EZ107" i="7"/>
  <c r="EZ144" i="7"/>
  <c r="EZ145" i="7"/>
  <c r="EZ146" i="7"/>
  <c r="EZ142" i="7"/>
  <c r="EZ112" i="7"/>
  <c r="EZ98" i="7"/>
  <c r="EZ116" i="7"/>
  <c r="EZ94" i="7"/>
  <c r="EZ143" i="7"/>
  <c r="EZ129" i="7"/>
  <c r="EZ89" i="7"/>
  <c r="EZ148" i="7"/>
  <c r="EZ120" i="7"/>
  <c r="EZ115" i="7"/>
  <c r="EZ102" i="7"/>
  <c r="EZ118" i="7"/>
  <c r="EZ86" i="7"/>
  <c r="EZ101" i="7"/>
  <c r="EZ136" i="7"/>
  <c r="EZ113" i="7"/>
  <c r="EZ132" i="7"/>
  <c r="EZ147" i="7"/>
  <c r="EZ111" i="7"/>
  <c r="EZ126" i="7"/>
  <c r="EZ133" i="7"/>
  <c r="EZ87" i="7"/>
  <c r="EZ108" i="7"/>
  <c r="EZ124" i="7"/>
  <c r="EZ123" i="7"/>
  <c r="EZ99" i="7"/>
  <c r="EZ135" i="7"/>
  <c r="EZ119" i="7"/>
  <c r="EZ140" i="7"/>
  <c r="EZ127" i="7"/>
  <c r="EZ82" i="7"/>
  <c r="EZ91" i="7"/>
  <c r="EZ151" i="7"/>
  <c r="EZ93" i="7"/>
  <c r="EZ138" i="7"/>
  <c r="EZ100" i="7"/>
  <c r="EZ141" i="7"/>
  <c r="EZ137" i="7"/>
  <c r="EZ130" i="7"/>
  <c r="EZ150" i="7"/>
  <c r="EZ85" i="7"/>
  <c r="FC81" i="7"/>
  <c r="FD80" i="7"/>
  <c r="GJ70" i="7"/>
  <c r="GK70" i="7" s="1"/>
  <c r="HT70" i="7" s="1"/>
  <c r="EU71" i="7"/>
  <c r="FT71" i="7" s="1"/>
  <c r="FV71" i="7" s="1"/>
  <c r="EU70" i="7"/>
  <c r="EH76" i="7"/>
  <c r="EI75" i="7"/>
  <c r="EO75" i="7"/>
  <c r="EQ75" i="7" s="1"/>
  <c r="FO75" i="7" s="1"/>
  <c r="FP75" i="7" s="1"/>
  <c r="FQ74" i="7"/>
  <c r="E7" i="11"/>
  <c r="B113" i="8"/>
  <c r="GD58" i="7"/>
  <c r="GE58" i="7" s="1"/>
  <c r="GD67" i="7"/>
  <c r="GE67" i="7" s="1"/>
  <c r="GG67" i="7" s="1"/>
  <c r="GD48" i="7"/>
  <c r="GE48" i="7" s="1"/>
  <c r="GD57" i="7"/>
  <c r="GE57" i="7" s="1"/>
  <c r="FX65" i="7"/>
  <c r="FY65" i="7" s="1"/>
  <c r="FZ65" i="7" s="1"/>
  <c r="GD56" i="7"/>
  <c r="GE56" i="7" s="1"/>
  <c r="GG56" i="7" s="1"/>
  <c r="GD68" i="7"/>
  <c r="GE68" i="7" s="1"/>
  <c r="GD64" i="7"/>
  <c r="GE64" i="7" s="1"/>
  <c r="GF64" i="7" s="1"/>
  <c r="GD60" i="7"/>
  <c r="GE60" i="7" s="1"/>
  <c r="GD54" i="7"/>
  <c r="GE54" i="7" s="1"/>
  <c r="GD50" i="7"/>
  <c r="GE50" i="7" s="1"/>
  <c r="FX63" i="7"/>
  <c r="FY63" i="7" s="1"/>
  <c r="FZ63" i="7" s="1"/>
  <c r="FX25" i="7"/>
  <c r="FY25" i="7" s="1"/>
  <c r="FZ25" i="7" s="1"/>
  <c r="FX26" i="7"/>
  <c r="FY26" i="7" s="1"/>
  <c r="FZ26" i="7" s="1"/>
  <c r="FX34" i="7"/>
  <c r="FY34" i="7" s="1"/>
  <c r="FZ34" i="7" s="1"/>
  <c r="FX19" i="7"/>
  <c r="FY19" i="7" s="1"/>
  <c r="FZ19" i="7" s="1"/>
  <c r="FX39" i="7"/>
  <c r="FY39" i="7" s="1"/>
  <c r="FZ39" i="7" s="1"/>
  <c r="FX41" i="7"/>
  <c r="FY41" i="7" s="1"/>
  <c r="FZ41" i="7" s="1"/>
  <c r="FX59" i="7"/>
  <c r="FY59" i="7" s="1"/>
  <c r="FZ59" i="7" s="1"/>
  <c r="FX20" i="7"/>
  <c r="FY20" i="7" s="1"/>
  <c r="FZ20" i="7" s="1"/>
  <c r="FX35" i="7"/>
  <c r="FY35" i="7" s="1"/>
  <c r="FZ35" i="7" s="1"/>
  <c r="FX31" i="7"/>
  <c r="FY31" i="7" s="1"/>
  <c r="FZ31" i="7" s="1"/>
  <c r="FX38" i="7"/>
  <c r="FY38" i="7" s="1"/>
  <c r="FZ38" i="7" s="1"/>
  <c r="FX21" i="7"/>
  <c r="FY21" i="7" s="1"/>
  <c r="FZ21" i="7" s="1"/>
  <c r="FX44" i="7"/>
  <c r="FY44" i="7" s="1"/>
  <c r="FZ44" i="7" s="1"/>
  <c r="GD53" i="7"/>
  <c r="GE53" i="7" s="1"/>
  <c r="GJ71" i="7"/>
  <c r="GK71" i="7" s="1"/>
  <c r="HT71" i="7" s="1"/>
  <c r="EU72" i="7"/>
  <c r="FX36" i="7"/>
  <c r="FY36" i="7" s="1"/>
  <c r="FZ36" i="7" s="1"/>
  <c r="FX51" i="7"/>
  <c r="FY51" i="7" s="1"/>
  <c r="FZ51" i="7" s="1"/>
  <c r="FX37" i="7"/>
  <c r="FY37" i="7" s="1"/>
  <c r="FZ37" i="7" s="1"/>
  <c r="FX46" i="7"/>
  <c r="FY46" i="7" s="1"/>
  <c r="FZ46" i="7" s="1"/>
  <c r="GB5" i="7"/>
  <c r="FX69" i="7"/>
  <c r="FY69" i="7" s="1"/>
  <c r="BE69" i="7" s="1"/>
  <c r="GD62" i="7"/>
  <c r="GE62" i="7" s="1"/>
  <c r="FX24" i="7"/>
  <c r="FY24" i="7" s="1"/>
  <c r="FZ24" i="7" s="1"/>
  <c r="FX55" i="7"/>
  <c r="FY55" i="7" s="1"/>
  <c r="FZ55" i="7" s="1"/>
  <c r="FX45" i="7"/>
  <c r="FY45" i="7" s="1"/>
  <c r="FZ45" i="7" s="1"/>
  <c r="FX40" i="7"/>
  <c r="FY40" i="7" s="1"/>
  <c r="FZ40" i="7" s="1"/>
  <c r="FX47" i="7"/>
  <c r="FY47" i="7" s="1"/>
  <c r="FZ47" i="7" s="1"/>
  <c r="FX52" i="7"/>
  <c r="FY52" i="7" s="1"/>
  <c r="FZ52" i="7" s="1"/>
  <c r="FX23" i="7"/>
  <c r="FY23" i="7" s="1"/>
  <c r="FZ23" i="7" s="1"/>
  <c r="FX27" i="7"/>
  <c r="FY27" i="7" s="1"/>
  <c r="FZ27" i="7" s="1"/>
  <c r="FX30" i="7"/>
  <c r="FY30" i="7" s="1"/>
  <c r="FZ30" i="7" s="1"/>
  <c r="FX33" i="7"/>
  <c r="FY33" i="7" s="1"/>
  <c r="FZ33" i="7" s="1"/>
  <c r="FX61" i="7"/>
  <c r="FY61" i="7" s="1"/>
  <c r="FZ61" i="7" s="1"/>
  <c r="FX42" i="7"/>
  <c r="FY42" i="7" s="1"/>
  <c r="FZ42" i="7" s="1"/>
  <c r="FX32" i="7"/>
  <c r="FY32" i="7" s="1"/>
  <c r="FZ32" i="7" s="1"/>
  <c r="FX17" i="7"/>
  <c r="FY17" i="7" s="1"/>
  <c r="FZ17" i="7" s="1"/>
  <c r="FX29" i="7"/>
  <c r="FY29" i="7" s="1"/>
  <c r="FZ29" i="7" s="1"/>
  <c r="FX43" i="7"/>
  <c r="FY43" i="7" s="1"/>
  <c r="FZ43" i="7" s="1"/>
  <c r="FX28" i="7"/>
  <c r="FY28" i="7" s="1"/>
  <c r="FZ28" i="7" s="1"/>
  <c r="FX18" i="7"/>
  <c r="FY18" i="7" s="1"/>
  <c r="FZ18" i="7" s="1"/>
  <c r="FX22" i="7"/>
  <c r="FY22" i="7" s="1"/>
  <c r="FZ22" i="7" s="1"/>
  <c r="GF49" i="7"/>
  <c r="GG49" i="7"/>
  <c r="GD66" i="7"/>
  <c r="GE66" i="7" s="1"/>
  <c r="CJ80" i="7"/>
  <c r="IC77" i="7"/>
  <c r="IB77" i="7"/>
  <c r="I148" i="4"/>
  <c r="DI79" i="7" l="1"/>
  <c r="ID78" i="7"/>
  <c r="GT78" i="7"/>
  <c r="HY72" i="7"/>
  <c r="GH72" i="7"/>
  <c r="GC72" i="7"/>
  <c r="GH70" i="7"/>
  <c r="GC70" i="7"/>
  <c r="HR71" i="7"/>
  <c r="HY155" i="7"/>
  <c r="HY74" i="7"/>
  <c r="GR78" i="7"/>
  <c r="HW77" i="7"/>
  <c r="FC82" i="7"/>
  <c r="FD81" i="7"/>
  <c r="FS71" i="7"/>
  <c r="EV71" i="7"/>
  <c r="GC71" i="7"/>
  <c r="GH71" i="7"/>
  <c r="FT70" i="7"/>
  <c r="FV70" i="7" s="1"/>
  <c r="HR70" i="7" s="1"/>
  <c r="EV70" i="7"/>
  <c r="FS70" i="7"/>
  <c r="FR75" i="7"/>
  <c r="FQ75" i="7"/>
  <c r="EH77" i="7"/>
  <c r="EO76" i="7"/>
  <c r="EQ76" i="7" s="1"/>
  <c r="FO76" i="7" s="1"/>
  <c r="FP76" i="7" s="1"/>
  <c r="EI76" i="7"/>
  <c r="BF69" i="7"/>
  <c r="BE72" i="7"/>
  <c r="BF72" i="7" s="1"/>
  <c r="BE74" i="7"/>
  <c r="BF74" i="7" s="1"/>
  <c r="BE70" i="7"/>
  <c r="BF70" i="7" s="1"/>
  <c r="BE75" i="7"/>
  <c r="BE73" i="7"/>
  <c r="BF73" i="7" s="1"/>
  <c r="BE71" i="7"/>
  <c r="BF71" i="7" s="1"/>
  <c r="GF67" i="7"/>
  <c r="GD65" i="7"/>
  <c r="GE65" i="7" s="1"/>
  <c r="GF65" i="7" s="1"/>
  <c r="GG58" i="7"/>
  <c r="GF58" i="7"/>
  <c r="GG48" i="7"/>
  <c r="GF48" i="7"/>
  <c r="GF57" i="7"/>
  <c r="GG57" i="7"/>
  <c r="GF56" i="7"/>
  <c r="GD42" i="7"/>
  <c r="GE42" i="7" s="1"/>
  <c r="GF42" i="7" s="1"/>
  <c r="GD19" i="7"/>
  <c r="GE19" i="7" s="1"/>
  <c r="GG19" i="7" s="1"/>
  <c r="GD43" i="7"/>
  <c r="GE43" i="7" s="1"/>
  <c r="GG43" i="7" s="1"/>
  <c r="GD26" i="7"/>
  <c r="GE26" i="7" s="1"/>
  <c r="GF26" i="7" s="1"/>
  <c r="GD37" i="7"/>
  <c r="GE37" i="7" s="1"/>
  <c r="GF37" i="7" s="1"/>
  <c r="GD21" i="7"/>
  <c r="GE21" i="7" s="1"/>
  <c r="GG21" i="7" s="1"/>
  <c r="GD31" i="7"/>
  <c r="GE31" i="7" s="1"/>
  <c r="GG31" i="7" s="1"/>
  <c r="GD69" i="7"/>
  <c r="GE69" i="7" s="1"/>
  <c r="GF69" i="7" s="1"/>
  <c r="GG64" i="7"/>
  <c r="GF54" i="7"/>
  <c r="GG54" i="7"/>
  <c r="GD55" i="7"/>
  <c r="GE55" i="7" s="1"/>
  <c r="GG55" i="7" s="1"/>
  <c r="GD20" i="7"/>
  <c r="GE20" i="7" s="1"/>
  <c r="GG20" i="7" s="1"/>
  <c r="GF60" i="7"/>
  <c r="GG60" i="7"/>
  <c r="GD38" i="7"/>
  <c r="GE38" i="7" s="1"/>
  <c r="GF38" i="7" s="1"/>
  <c r="GD41" i="7"/>
  <c r="GE41" i="7" s="1"/>
  <c r="GG41" i="7" s="1"/>
  <c r="GF68" i="7"/>
  <c r="GG68" i="7"/>
  <c r="GD51" i="7"/>
  <c r="GE51" i="7" s="1"/>
  <c r="GG51" i="7" s="1"/>
  <c r="GD59" i="7"/>
  <c r="GE59" i="7" s="1"/>
  <c r="GG59" i="7" s="1"/>
  <c r="GD40" i="7"/>
  <c r="GE40" i="7" s="1"/>
  <c r="GF40" i="7" s="1"/>
  <c r="GD27" i="7"/>
  <c r="GE27" i="7" s="1"/>
  <c r="GF27" i="7" s="1"/>
  <c r="GD63" i="7"/>
  <c r="GE63" i="7" s="1"/>
  <c r="GF63" i="7" s="1"/>
  <c r="GD34" i="7"/>
  <c r="GE34" i="7" s="1"/>
  <c r="GF34" i="7" s="1"/>
  <c r="GG50" i="7"/>
  <c r="GF50" i="7"/>
  <c r="GD28" i="7"/>
  <c r="GE28" i="7" s="1"/>
  <c r="GD32" i="7"/>
  <c r="GE32" i="7" s="1"/>
  <c r="GD30" i="7"/>
  <c r="GE30" i="7" s="1"/>
  <c r="GD47" i="7"/>
  <c r="GE47" i="7" s="1"/>
  <c r="GD24" i="7"/>
  <c r="GE24" i="7" s="1"/>
  <c r="GD46" i="7"/>
  <c r="GE46" i="7" s="1"/>
  <c r="EU73" i="7"/>
  <c r="GH73" i="7" s="1"/>
  <c r="GJ72" i="7"/>
  <c r="GK72" i="7" s="1"/>
  <c r="HT72" i="7" s="1"/>
  <c r="GG66" i="7"/>
  <c r="GF66" i="7"/>
  <c r="GG62" i="7"/>
  <c r="GF62" i="7"/>
  <c r="GG53" i="7"/>
  <c r="GF53" i="7"/>
  <c r="GD44" i="7"/>
  <c r="GE44" i="7" s="1"/>
  <c r="GD35" i="7"/>
  <c r="GE35" i="7" s="1"/>
  <c r="GD39" i="7"/>
  <c r="GE39" i="7" s="1"/>
  <c r="GD25" i="7"/>
  <c r="GE25" i="7" s="1"/>
  <c r="GD22" i="7"/>
  <c r="GE22" i="7" s="1"/>
  <c r="GD29" i="7"/>
  <c r="GE29" i="7" s="1"/>
  <c r="GD61" i="7"/>
  <c r="GE61" i="7" s="1"/>
  <c r="GD23" i="7"/>
  <c r="GE23" i="7" s="1"/>
  <c r="GD45" i="7"/>
  <c r="GE45" i="7" s="1"/>
  <c r="GD18" i="7"/>
  <c r="GE18" i="7" s="1"/>
  <c r="GD17" i="7"/>
  <c r="GE17" i="7" s="1"/>
  <c r="GD33" i="7"/>
  <c r="GE33" i="7" s="1"/>
  <c r="GD52" i="7"/>
  <c r="GE52" i="7" s="1"/>
  <c r="FZ69" i="7"/>
  <c r="BE83" i="7"/>
  <c r="GD36" i="7"/>
  <c r="GE36" i="7" s="1"/>
  <c r="FT72" i="7"/>
  <c r="FV72" i="7" s="1"/>
  <c r="HR72" i="7" s="1"/>
  <c r="EV72" i="7"/>
  <c r="IC78" i="7"/>
  <c r="IB78" i="7"/>
  <c r="FS72" i="7"/>
  <c r="CJ81" i="7"/>
  <c r="I149" i="4"/>
  <c r="DI80" i="7" l="1"/>
  <c r="ID79" i="7"/>
  <c r="GT79" i="7"/>
  <c r="GI72" i="7"/>
  <c r="HX72" i="7" s="1"/>
  <c r="GI71" i="7"/>
  <c r="HX71" i="7" s="1"/>
  <c r="HY75" i="7"/>
  <c r="HW78" i="7"/>
  <c r="GR79" i="7"/>
  <c r="FC83" i="7"/>
  <c r="FD82" i="7"/>
  <c r="GI70" i="7"/>
  <c r="HX70" i="7" s="1"/>
  <c r="FR76" i="7"/>
  <c r="FQ76" i="7"/>
  <c r="EH78" i="7"/>
  <c r="EI77" i="7"/>
  <c r="EO77" i="7"/>
  <c r="EQ77" i="7" s="1"/>
  <c r="FO77" i="7" s="1"/>
  <c r="FP77" i="7" s="1"/>
  <c r="BG75" i="7"/>
  <c r="BF75" i="7" s="1"/>
  <c r="GA71" i="7"/>
  <c r="GB71" i="7" s="1"/>
  <c r="GD71" i="7" s="1"/>
  <c r="GE71" i="7" s="1"/>
  <c r="GA72" i="7"/>
  <c r="GB72" i="7" s="1"/>
  <c r="HS72" i="7" s="1"/>
  <c r="GA74" i="7"/>
  <c r="BE76" i="7"/>
  <c r="GA70" i="7"/>
  <c r="GB70" i="7" s="1"/>
  <c r="BE87" i="7"/>
  <c r="BE147" i="7"/>
  <c r="BE132" i="7"/>
  <c r="BE122" i="7"/>
  <c r="BE105" i="7"/>
  <c r="BE86" i="7"/>
  <c r="BE143" i="7"/>
  <c r="BG143" i="7" s="1"/>
  <c r="BE128" i="7"/>
  <c r="BE107" i="7"/>
  <c r="BE84" i="7"/>
  <c r="BE77" i="7"/>
  <c r="BE155" i="7"/>
  <c r="BG155" i="7" s="1"/>
  <c r="BE140" i="7"/>
  <c r="BE124" i="7"/>
  <c r="BE108" i="7"/>
  <c r="BE110" i="7"/>
  <c r="BE151" i="7"/>
  <c r="BE136" i="7"/>
  <c r="BE115" i="7"/>
  <c r="BE125" i="7"/>
  <c r="BE88" i="7"/>
  <c r="BE91" i="7"/>
  <c r="BE148" i="7"/>
  <c r="BE133" i="7"/>
  <c r="BE112" i="7"/>
  <c r="BE81" i="7"/>
  <c r="BE90" i="7"/>
  <c r="BE144" i="7"/>
  <c r="BG144" i="7" s="1"/>
  <c r="BE129" i="7"/>
  <c r="BE111" i="7"/>
  <c r="BE96" i="7"/>
  <c r="BE78" i="7"/>
  <c r="BE156" i="7"/>
  <c r="BE141" i="7"/>
  <c r="BE126" i="7"/>
  <c r="BE109" i="7"/>
  <c r="BE85" i="7"/>
  <c r="BE152" i="7"/>
  <c r="BE137" i="7"/>
  <c r="BE119" i="7"/>
  <c r="BE95" i="7"/>
  <c r="BE116" i="7"/>
  <c r="BE92" i="7"/>
  <c r="BE97" i="7"/>
  <c r="BE149" i="7"/>
  <c r="BG149" i="7" s="1"/>
  <c r="BE134" i="7"/>
  <c r="BE99" i="7"/>
  <c r="BE82" i="7"/>
  <c r="BE98" i="7"/>
  <c r="BE145" i="7"/>
  <c r="BG145" i="7" s="1"/>
  <c r="BE130" i="7"/>
  <c r="BE135" i="7"/>
  <c r="BE123" i="7"/>
  <c r="BE100" i="7"/>
  <c r="BE79" i="7"/>
  <c r="BE94" i="7"/>
  <c r="BE142" i="7"/>
  <c r="BE113" i="7"/>
  <c r="BE117" i="7"/>
  <c r="BE89" i="7"/>
  <c r="BE153" i="7"/>
  <c r="BE138" i="7"/>
  <c r="BE114" i="7"/>
  <c r="BE131" i="7"/>
  <c r="BE118" i="7"/>
  <c r="BE101" i="7"/>
  <c r="BE102" i="7"/>
  <c r="BE150" i="7"/>
  <c r="BG150" i="7" s="1"/>
  <c r="BE127" i="7"/>
  <c r="BE103" i="7"/>
  <c r="BE106" i="7"/>
  <c r="BE146" i="7"/>
  <c r="BE139" i="7"/>
  <c r="BE120" i="7"/>
  <c r="BE104" i="7"/>
  <c r="BE80" i="7"/>
  <c r="BE121" i="7"/>
  <c r="BE93" i="7"/>
  <c r="BE154" i="7"/>
  <c r="GG65" i="7"/>
  <c r="GF55" i="7"/>
  <c r="GF19" i="7"/>
  <c r="GG34" i="7"/>
  <c r="GG42" i="7"/>
  <c r="GG26" i="7"/>
  <c r="GG37" i="7"/>
  <c r="GF51" i="7"/>
  <c r="GF43" i="7"/>
  <c r="GF20" i="7"/>
  <c r="GF31" i="7"/>
  <c r="GF21" i="7"/>
  <c r="GG69" i="7"/>
  <c r="GG63" i="7"/>
  <c r="GG40" i="7"/>
  <c r="GG38" i="7"/>
  <c r="GG27" i="7"/>
  <c r="GF41" i="7"/>
  <c r="GF59" i="7"/>
  <c r="GG36" i="7"/>
  <c r="GF36" i="7"/>
  <c r="GF39" i="7"/>
  <c r="GG39" i="7"/>
  <c r="GG35" i="7"/>
  <c r="GF35" i="7"/>
  <c r="GG52" i="7"/>
  <c r="GF52" i="7"/>
  <c r="GF45" i="7"/>
  <c r="GG45" i="7"/>
  <c r="GG44" i="7"/>
  <c r="GF44" i="7"/>
  <c r="EU74" i="7"/>
  <c r="GJ73" i="7"/>
  <c r="GK73" i="7" s="1"/>
  <c r="HT73" i="7" s="1"/>
  <c r="GG25" i="7"/>
  <c r="GF25" i="7"/>
  <c r="GF32" i="7"/>
  <c r="GG32" i="7"/>
  <c r="GG33" i="7"/>
  <c r="GF33" i="7"/>
  <c r="GF23" i="7"/>
  <c r="GG23" i="7"/>
  <c r="GG46" i="7"/>
  <c r="GF46" i="7"/>
  <c r="GF17" i="7"/>
  <c r="GG17" i="7"/>
  <c r="GF61" i="7"/>
  <c r="GG61" i="7"/>
  <c r="GG24" i="7"/>
  <c r="GF24" i="7"/>
  <c r="GA73" i="7"/>
  <c r="GB73" i="7" s="1"/>
  <c r="HS73" i="7" s="1"/>
  <c r="GF18" i="7"/>
  <c r="GG18" i="7"/>
  <c r="GG29" i="7"/>
  <c r="GF29" i="7"/>
  <c r="GF47" i="7"/>
  <c r="GG47" i="7"/>
  <c r="GF30" i="7"/>
  <c r="GG30" i="7"/>
  <c r="GF22" i="7"/>
  <c r="GG22" i="7"/>
  <c r="GG28" i="7"/>
  <c r="GF28" i="7"/>
  <c r="EV73" i="7"/>
  <c r="FT73" i="7"/>
  <c r="FV73" i="7" s="1"/>
  <c r="HR73" i="7" s="1"/>
  <c r="GC73" i="7"/>
  <c r="FS73" i="7"/>
  <c r="CJ82" i="7"/>
  <c r="IC79" i="7"/>
  <c r="IB79" i="7"/>
  <c r="I150" i="4"/>
  <c r="DI81" i="7" l="1"/>
  <c r="ID80" i="7"/>
  <c r="GT80" i="7"/>
  <c r="HY76" i="7"/>
  <c r="HW79" i="7"/>
  <c r="GR80" i="7"/>
  <c r="FC84" i="7"/>
  <c r="FD83" i="7"/>
  <c r="FR77" i="7"/>
  <c r="FQ77" i="7"/>
  <c r="EH79" i="7"/>
  <c r="EI78" i="7"/>
  <c r="EO78" i="7"/>
  <c r="EQ78" i="7" s="1"/>
  <c r="FO78" i="7" s="1"/>
  <c r="FP78" i="7" s="1"/>
  <c r="BG130" i="7"/>
  <c r="BG139" i="7"/>
  <c r="BG113" i="7"/>
  <c r="BF145" i="7"/>
  <c r="GA145" i="7" s="1"/>
  <c r="BG116" i="7"/>
  <c r="BG141" i="7"/>
  <c r="BG136" i="7"/>
  <c r="BG147" i="7"/>
  <c r="BG146" i="7"/>
  <c r="BG118" i="7"/>
  <c r="BG142" i="7"/>
  <c r="BG156" i="7"/>
  <c r="BG112" i="7"/>
  <c r="BG151" i="7"/>
  <c r="BG107" i="7"/>
  <c r="BG154" i="7"/>
  <c r="BG131" i="7"/>
  <c r="BG119" i="7"/>
  <c r="BG133" i="7"/>
  <c r="BG110" i="7"/>
  <c r="BG128" i="7"/>
  <c r="BG114" i="7"/>
  <c r="BG137" i="7"/>
  <c r="BG148" i="7"/>
  <c r="BG108" i="7"/>
  <c r="BF143" i="7"/>
  <c r="GA143" i="7" s="1"/>
  <c r="BG138" i="7"/>
  <c r="BG124" i="7"/>
  <c r="BG121" i="7"/>
  <c r="BG134" i="7"/>
  <c r="BG152" i="7"/>
  <c r="BG111" i="7"/>
  <c r="BG127" i="7"/>
  <c r="BG153" i="7"/>
  <c r="BG123" i="7"/>
  <c r="BF149" i="7"/>
  <c r="GA149" i="7" s="1"/>
  <c r="BG129" i="7"/>
  <c r="BG140" i="7"/>
  <c r="BF150" i="7"/>
  <c r="GA150" i="7" s="1"/>
  <c r="BG135" i="7"/>
  <c r="BG109" i="7"/>
  <c r="BF144" i="7"/>
  <c r="GA144" i="7" s="1"/>
  <c r="BG125" i="7"/>
  <c r="BF155" i="7"/>
  <c r="GA155" i="7" s="1"/>
  <c r="BG122" i="7"/>
  <c r="BG117" i="7"/>
  <c r="BG126" i="7"/>
  <c r="BG115" i="7"/>
  <c r="BG132" i="7"/>
  <c r="BG120" i="7"/>
  <c r="GD72" i="7"/>
  <c r="GE72" i="7" s="1"/>
  <c r="GG72" i="7" s="1"/>
  <c r="BG82" i="7"/>
  <c r="BG94" i="7"/>
  <c r="BG79" i="7"/>
  <c r="BG106" i="7"/>
  <c r="BG90" i="7"/>
  <c r="BG89" i="7"/>
  <c r="HS70" i="7"/>
  <c r="GD70" i="7"/>
  <c r="GE70" i="7" s="1"/>
  <c r="BG97" i="7"/>
  <c r="BG88" i="7"/>
  <c r="BG100" i="7"/>
  <c r="BG91" i="7"/>
  <c r="HS71" i="7"/>
  <c r="BG105" i="7"/>
  <c r="BG101" i="7"/>
  <c r="BG96" i="7"/>
  <c r="BG104" i="7"/>
  <c r="BG83" i="7"/>
  <c r="BG103" i="7"/>
  <c r="BG93" i="7"/>
  <c r="BG102" i="7"/>
  <c r="BG78" i="7"/>
  <c r="BG98" i="7"/>
  <c r="BG87" i="7"/>
  <c r="BG99" i="7"/>
  <c r="BG86" i="7"/>
  <c r="BG84" i="7"/>
  <c r="BG92" i="7"/>
  <c r="BG76" i="7"/>
  <c r="BG85" i="7"/>
  <c r="EU75" i="7"/>
  <c r="EV75" i="7" s="1"/>
  <c r="GJ74" i="7"/>
  <c r="GK74" i="7" s="1"/>
  <c r="HT74" i="7" s="1"/>
  <c r="BG95" i="7"/>
  <c r="BG81" i="7"/>
  <c r="BG80" i="7"/>
  <c r="BG77" i="7"/>
  <c r="EV74" i="7"/>
  <c r="FT74" i="7"/>
  <c r="FV74" i="7" s="1"/>
  <c r="HR74" i="7" s="1"/>
  <c r="GB74" i="7"/>
  <c r="HS74" i="7" s="1"/>
  <c r="IC80" i="7"/>
  <c r="IB80" i="7"/>
  <c r="GH74" i="7"/>
  <c r="GC74" i="7"/>
  <c r="FS74" i="7"/>
  <c r="CJ83" i="7"/>
  <c r="GI73" i="7"/>
  <c r="HX73" i="7" s="1"/>
  <c r="GD73" i="7"/>
  <c r="GE73" i="7" s="1"/>
  <c r="I151" i="4"/>
  <c r="DI82" i="7" l="1"/>
  <c r="ID81" i="7"/>
  <c r="GT81" i="7"/>
  <c r="HY77" i="7"/>
  <c r="HW80" i="7"/>
  <c r="GR81" i="7"/>
  <c r="FC85" i="7"/>
  <c r="FD84" i="7"/>
  <c r="FR78" i="7"/>
  <c r="FQ78" i="7"/>
  <c r="EH80" i="7"/>
  <c r="EO79" i="7"/>
  <c r="EQ79" i="7" s="1"/>
  <c r="FO79" i="7" s="1"/>
  <c r="FP79" i="7" s="1"/>
  <c r="EI79" i="7"/>
  <c r="GA75" i="7"/>
  <c r="GB75" i="7" s="1"/>
  <c r="HS75" i="7" s="1"/>
  <c r="BF97" i="7"/>
  <c r="BF95" i="7"/>
  <c r="BF87" i="7"/>
  <c r="BF96" i="7"/>
  <c r="BF91" i="7"/>
  <c r="BF106" i="7"/>
  <c r="BF115" i="7"/>
  <c r="BF135" i="7"/>
  <c r="BF121" i="7"/>
  <c r="BF108" i="7"/>
  <c r="BF131" i="7"/>
  <c r="BF112" i="7"/>
  <c r="BF146" i="7"/>
  <c r="BF116" i="7"/>
  <c r="BF92" i="7"/>
  <c r="BF93" i="7"/>
  <c r="BF81" i="7"/>
  <c r="BF128" i="7"/>
  <c r="BF130" i="7"/>
  <c r="BF77" i="7"/>
  <c r="BF84" i="7"/>
  <c r="BF98" i="7"/>
  <c r="BF101" i="7"/>
  <c r="BF89" i="7"/>
  <c r="BF79" i="7"/>
  <c r="BF126" i="7"/>
  <c r="BF125" i="7"/>
  <c r="BF123" i="7"/>
  <c r="BF111" i="7"/>
  <c r="BF124" i="7"/>
  <c r="BF148" i="7"/>
  <c r="BF110" i="7"/>
  <c r="BF154" i="7"/>
  <c r="BF156" i="7"/>
  <c r="BF147" i="7"/>
  <c r="BF103" i="7"/>
  <c r="BF100" i="7"/>
  <c r="BF94" i="7"/>
  <c r="BF86" i="7"/>
  <c r="BF120" i="7"/>
  <c r="BF153" i="7"/>
  <c r="BF138" i="7"/>
  <c r="BF137" i="7"/>
  <c r="BF107" i="7"/>
  <c r="BF142" i="7"/>
  <c r="BF113" i="7"/>
  <c r="BF80" i="7"/>
  <c r="BF83" i="7"/>
  <c r="BF90" i="7"/>
  <c r="BF85" i="7"/>
  <c r="BF78" i="7"/>
  <c r="BF105" i="7"/>
  <c r="BF88" i="7"/>
  <c r="BF117" i="7"/>
  <c r="BF140" i="7"/>
  <c r="BF152" i="7"/>
  <c r="BF133" i="7"/>
  <c r="BF136" i="7"/>
  <c r="BF76" i="7"/>
  <c r="BF99" i="7"/>
  <c r="BF102" i="7"/>
  <c r="BF104" i="7"/>
  <c r="BF82" i="7"/>
  <c r="BF132" i="7"/>
  <c r="BF122" i="7"/>
  <c r="BF109" i="7"/>
  <c r="BF129" i="7"/>
  <c r="BF127" i="7"/>
  <c r="BF134" i="7"/>
  <c r="BF114" i="7"/>
  <c r="BF119" i="7"/>
  <c r="BF151" i="7"/>
  <c r="BF118" i="7"/>
  <c r="BF141" i="7"/>
  <c r="BF139" i="7"/>
  <c r="GF72" i="7"/>
  <c r="GG71" i="7"/>
  <c r="GF71" i="7"/>
  <c r="GF70" i="7"/>
  <c r="GG70" i="7"/>
  <c r="GJ75" i="7"/>
  <c r="GK75" i="7" s="1"/>
  <c r="HT75" i="7" s="1"/>
  <c r="EU76" i="7"/>
  <c r="FT75" i="7"/>
  <c r="CJ84" i="7"/>
  <c r="IC81" i="7"/>
  <c r="IB81" i="7"/>
  <c r="GI74" i="7"/>
  <c r="HX74" i="7" s="1"/>
  <c r="GD74" i="7"/>
  <c r="GE74" i="7" s="1"/>
  <c r="GG73" i="7"/>
  <c r="GF73" i="7"/>
  <c r="GC75" i="7"/>
  <c r="GH75" i="7"/>
  <c r="FS75" i="7"/>
  <c r="I152" i="4"/>
  <c r="DI83" i="7" l="1"/>
  <c r="ID82" i="7"/>
  <c r="GT82" i="7"/>
  <c r="HQ73" i="7"/>
  <c r="HY78" i="7"/>
  <c r="HQ72" i="7"/>
  <c r="HW81" i="7"/>
  <c r="GR83" i="7"/>
  <c r="GR82" i="7"/>
  <c r="FC86" i="7"/>
  <c r="FD85" i="7"/>
  <c r="FR79" i="7"/>
  <c r="FQ79" i="7"/>
  <c r="EH81" i="7"/>
  <c r="EH82" i="7" s="1"/>
  <c r="EI80" i="7"/>
  <c r="EO80" i="7"/>
  <c r="EQ80" i="7" s="1"/>
  <c r="FO80" i="7" s="1"/>
  <c r="FP80" i="7" s="1"/>
  <c r="GA134" i="7"/>
  <c r="GA141" i="7"/>
  <c r="GA114" i="7"/>
  <c r="GA109" i="7"/>
  <c r="GA104" i="7"/>
  <c r="GA136" i="7"/>
  <c r="GA117" i="7"/>
  <c r="GA85" i="7"/>
  <c r="GA92" i="7"/>
  <c r="GA131" i="7"/>
  <c r="GA115" i="7"/>
  <c r="GA87" i="7"/>
  <c r="GA113" i="7"/>
  <c r="GA138" i="7"/>
  <c r="GA147" i="7"/>
  <c r="GA148" i="7"/>
  <c r="GA125" i="7"/>
  <c r="GA101" i="7"/>
  <c r="GA130" i="7"/>
  <c r="GA133" i="7"/>
  <c r="GA108" i="7"/>
  <c r="GA142" i="7"/>
  <c r="GA124" i="7"/>
  <c r="GA151" i="7"/>
  <c r="GA127" i="7"/>
  <c r="GA132" i="7"/>
  <c r="GA99" i="7"/>
  <c r="GA152" i="7"/>
  <c r="GA105" i="7"/>
  <c r="GA146" i="7"/>
  <c r="GA121" i="7"/>
  <c r="GA91" i="7"/>
  <c r="GA118" i="7"/>
  <c r="GA102" i="7"/>
  <c r="GA88" i="7"/>
  <c r="GA81" i="7"/>
  <c r="GA95" i="7"/>
  <c r="GA153" i="7"/>
  <c r="GA94" i="7"/>
  <c r="GA126" i="7"/>
  <c r="GA98" i="7"/>
  <c r="GA128" i="7"/>
  <c r="GA107" i="7"/>
  <c r="GA120" i="7"/>
  <c r="GA100" i="7"/>
  <c r="GA154" i="7"/>
  <c r="GA111" i="7"/>
  <c r="GA79" i="7"/>
  <c r="GA84" i="7"/>
  <c r="GA97" i="7"/>
  <c r="GA106" i="7"/>
  <c r="GA90" i="7"/>
  <c r="GA156" i="7"/>
  <c r="GA139" i="7"/>
  <c r="GA119" i="7"/>
  <c r="GA129" i="7"/>
  <c r="GA82" i="7"/>
  <c r="GA76" i="7"/>
  <c r="GB76" i="7" s="1"/>
  <c r="HS76" i="7" s="1"/>
  <c r="GA140" i="7"/>
  <c r="GA78" i="7"/>
  <c r="GA93" i="7"/>
  <c r="GA112" i="7"/>
  <c r="GA135" i="7"/>
  <c r="GA96" i="7"/>
  <c r="GA122" i="7"/>
  <c r="GA116" i="7"/>
  <c r="GA80" i="7"/>
  <c r="GA137" i="7"/>
  <c r="GA86" i="7"/>
  <c r="GA103" i="7"/>
  <c r="GA110" i="7"/>
  <c r="GA123" i="7"/>
  <c r="GA89" i="7"/>
  <c r="GA77" i="7"/>
  <c r="GA83" i="7"/>
  <c r="GM72" i="7"/>
  <c r="GO72" i="7" s="1"/>
  <c r="GX72" i="7" s="1"/>
  <c r="GM71" i="7"/>
  <c r="GO71" i="7" s="1"/>
  <c r="GX71" i="7" s="1"/>
  <c r="HQ70" i="7"/>
  <c r="GJ76" i="7"/>
  <c r="GK76" i="7" s="1"/>
  <c r="HT76" i="7" s="1"/>
  <c r="EU77" i="7"/>
  <c r="HQ71" i="7"/>
  <c r="GM70" i="7"/>
  <c r="EV76" i="7"/>
  <c r="FT76" i="7"/>
  <c r="GM73" i="7"/>
  <c r="HU73" i="7" s="1"/>
  <c r="GG74" i="7"/>
  <c r="GF74" i="7"/>
  <c r="IC82" i="7"/>
  <c r="IB82" i="7"/>
  <c r="GI75" i="7"/>
  <c r="HX75" i="7" s="1"/>
  <c r="GH76" i="7"/>
  <c r="GC76" i="7"/>
  <c r="FS76" i="7"/>
  <c r="CJ85" i="7"/>
  <c r="I153" i="4"/>
  <c r="DI84" i="7" l="1"/>
  <c r="ID83" i="7"/>
  <c r="GV70" i="7"/>
  <c r="HE70" i="7" s="1"/>
  <c r="GY71" i="7"/>
  <c r="GY72" i="7"/>
  <c r="GT83" i="7"/>
  <c r="GS71" i="7"/>
  <c r="GW71" i="7" s="1"/>
  <c r="GZ71" i="7" s="1"/>
  <c r="GS72" i="7"/>
  <c r="GW72" i="7" s="1"/>
  <c r="GZ72" i="7" s="1"/>
  <c r="GV72" i="7"/>
  <c r="HE72" i="7" s="1"/>
  <c r="GV71" i="7"/>
  <c r="HE71" i="7" s="1"/>
  <c r="GV73" i="7"/>
  <c r="HE73" i="7" s="1"/>
  <c r="HY79" i="7"/>
  <c r="HV71" i="7"/>
  <c r="HV72" i="7"/>
  <c r="HW82" i="7"/>
  <c r="EH83" i="7"/>
  <c r="EH84" i="7" s="1"/>
  <c r="EH85" i="7" s="1"/>
  <c r="EH86" i="7" s="1"/>
  <c r="EO82" i="7"/>
  <c r="EQ82" i="7" s="1"/>
  <c r="FO82" i="7" s="1"/>
  <c r="FP82" i="7" s="1"/>
  <c r="EI82" i="7"/>
  <c r="FC87" i="7"/>
  <c r="FD86" i="7"/>
  <c r="FR80" i="7"/>
  <c r="FQ80" i="7"/>
  <c r="EO81" i="7"/>
  <c r="EQ81" i="7" s="1"/>
  <c r="FO81" i="7" s="1"/>
  <c r="FP81" i="7" s="1"/>
  <c r="EI81" i="7"/>
  <c r="HU72" i="7"/>
  <c r="HU71" i="7"/>
  <c r="HU70" i="7"/>
  <c r="GO70" i="7"/>
  <c r="GX70" i="7" s="1"/>
  <c r="EU78" i="7"/>
  <c r="GJ77" i="7"/>
  <c r="GK77" i="7" s="1"/>
  <c r="HT77" i="7" s="1"/>
  <c r="GO73" i="7"/>
  <c r="GX73" i="7" s="1"/>
  <c r="HQ74" i="7"/>
  <c r="EV77" i="7"/>
  <c r="FT77" i="7"/>
  <c r="GB77" i="7"/>
  <c r="HS77" i="7" s="1"/>
  <c r="GM74" i="7"/>
  <c r="GI76" i="7"/>
  <c r="HX76" i="7" s="1"/>
  <c r="CJ86" i="7"/>
  <c r="GH77" i="7"/>
  <c r="GC77" i="7"/>
  <c r="FS77" i="7"/>
  <c r="IC83" i="7"/>
  <c r="IB83" i="7"/>
  <c r="I154" i="4"/>
  <c r="DI85" i="7" l="1"/>
  <c r="ID84" i="7"/>
  <c r="GS73" i="7"/>
  <c r="GW73" i="7" s="1"/>
  <c r="GZ73" i="7" s="1"/>
  <c r="GY73" i="7"/>
  <c r="GS70" i="7"/>
  <c r="GW70" i="7" s="1"/>
  <c r="GZ70" i="7" s="1"/>
  <c r="HB71" i="7"/>
  <c r="HB72" i="7"/>
  <c r="GU72" i="7"/>
  <c r="HF72" i="7" s="1"/>
  <c r="GU71" i="7"/>
  <c r="HF71" i="7" s="1"/>
  <c r="GT84" i="7"/>
  <c r="GV74" i="7"/>
  <c r="HE74" i="7" s="1"/>
  <c r="HZ71" i="7"/>
  <c r="IE71" i="7" s="1"/>
  <c r="HZ72" i="7"/>
  <c r="IE72" i="7" s="1"/>
  <c r="HV73" i="7"/>
  <c r="HZ73" i="7" s="1"/>
  <c r="IA73" i="7" s="1"/>
  <c r="IF73" i="7" s="1"/>
  <c r="HY80" i="7"/>
  <c r="HV70" i="7"/>
  <c r="HW83" i="7"/>
  <c r="GR84" i="7"/>
  <c r="EH87" i="7"/>
  <c r="EH88" i="7" s="1"/>
  <c r="EI86" i="7"/>
  <c r="EO86" i="7"/>
  <c r="EQ86" i="7" s="1"/>
  <c r="FO86" i="7" s="1"/>
  <c r="FP86" i="7" s="1"/>
  <c r="FQ86" i="7" s="1"/>
  <c r="EI85" i="7"/>
  <c r="EO85" i="7"/>
  <c r="EQ85" i="7" s="1"/>
  <c r="FO85" i="7" s="1"/>
  <c r="FP85" i="7" s="1"/>
  <c r="EI84" i="7"/>
  <c r="EO84" i="7"/>
  <c r="EQ84" i="7" s="1"/>
  <c r="FO84" i="7" s="1"/>
  <c r="FP84" i="7" s="1"/>
  <c r="FQ82" i="7"/>
  <c r="FR82" i="7"/>
  <c r="EO83" i="7"/>
  <c r="EQ83" i="7" s="1"/>
  <c r="FO83" i="7" s="1"/>
  <c r="FP83" i="7" s="1"/>
  <c r="EI83" i="7"/>
  <c r="FC88" i="7"/>
  <c r="FD87" i="7"/>
  <c r="FR81" i="7"/>
  <c r="FQ81" i="7"/>
  <c r="GJ78" i="7"/>
  <c r="EU79" i="7"/>
  <c r="EV78" i="7"/>
  <c r="FT78" i="7"/>
  <c r="GB78" i="7"/>
  <c r="HS78" i="7" s="1"/>
  <c r="HU74" i="7"/>
  <c r="GO74" i="7"/>
  <c r="GX74" i="7" s="1"/>
  <c r="CJ87" i="7"/>
  <c r="IC84" i="7"/>
  <c r="IB84" i="7"/>
  <c r="GH78" i="7"/>
  <c r="GC78" i="7"/>
  <c r="FS78" i="7"/>
  <c r="GI77" i="7"/>
  <c r="HX77" i="7" s="1"/>
  <c r="I155" i="4"/>
  <c r="HH72" i="7" l="1"/>
  <c r="DI86" i="7"/>
  <c r="ID85" i="7"/>
  <c r="GK78" i="7"/>
  <c r="HT78" i="7" s="1"/>
  <c r="HA70" i="7"/>
  <c r="HG72" i="7"/>
  <c r="HG71" i="7"/>
  <c r="HB73" i="7"/>
  <c r="HA71" i="7"/>
  <c r="HC71" i="7" s="1"/>
  <c r="HD71" i="7" s="1"/>
  <c r="HA72" i="7"/>
  <c r="HC72" i="7" s="1"/>
  <c r="HD72" i="7" s="1"/>
  <c r="GY70" i="7"/>
  <c r="GU73" i="7"/>
  <c r="HF73" i="7" s="1"/>
  <c r="GS74" i="7"/>
  <c r="GW74" i="7" s="1"/>
  <c r="GZ74" i="7" s="1"/>
  <c r="GY74" i="7"/>
  <c r="HZ70" i="7"/>
  <c r="IA70" i="7" s="1"/>
  <c r="IF70" i="7" s="1"/>
  <c r="GU70" i="7"/>
  <c r="HF70" i="7" s="1"/>
  <c r="GT85" i="7"/>
  <c r="IA71" i="7"/>
  <c r="IF71" i="7" s="1"/>
  <c r="IA72" i="7"/>
  <c r="IF72" i="7" s="1"/>
  <c r="IE73" i="7"/>
  <c r="HY86" i="7"/>
  <c r="HY82" i="7"/>
  <c r="HY81" i="7"/>
  <c r="HV74" i="7"/>
  <c r="HZ74" i="7" s="1"/>
  <c r="HW84" i="7"/>
  <c r="GR85" i="7"/>
  <c r="EI88" i="7"/>
  <c r="EO88" i="7"/>
  <c r="EQ88" i="7" s="1"/>
  <c r="FO88" i="7" s="1"/>
  <c r="FP88" i="7" s="1"/>
  <c r="FQ88" i="7" s="1"/>
  <c r="EH89" i="7"/>
  <c r="EH90" i="7" s="1"/>
  <c r="FR86" i="7"/>
  <c r="EI87" i="7"/>
  <c r="EO87" i="7"/>
  <c r="EQ87" i="7" s="1"/>
  <c r="FO87" i="7" s="1"/>
  <c r="FP87" i="7" s="1"/>
  <c r="FQ87" i="7" s="1"/>
  <c r="FQ85" i="7"/>
  <c r="FR85" i="7"/>
  <c r="FQ84" i="7"/>
  <c r="FR84" i="7"/>
  <c r="FQ83" i="7"/>
  <c r="FR83" i="7"/>
  <c r="FC89" i="7"/>
  <c r="FD88" i="7"/>
  <c r="EU80" i="7"/>
  <c r="GJ79" i="7"/>
  <c r="GK79" i="7" s="1"/>
  <c r="HT79" i="7" s="1"/>
  <c r="EV79" i="7"/>
  <c r="FT79" i="7"/>
  <c r="GB79" i="7"/>
  <c r="HS79" i="7" s="1"/>
  <c r="IC85" i="7"/>
  <c r="IB85" i="7"/>
  <c r="GH79" i="7"/>
  <c r="GC79" i="7"/>
  <c r="FS79" i="7"/>
  <c r="CJ88" i="7"/>
  <c r="GI78" i="7"/>
  <c r="HX78" i="7" s="1"/>
  <c r="I156" i="4"/>
  <c r="HJ72" i="7" l="1"/>
  <c r="HI72" i="7"/>
  <c r="HH73" i="7"/>
  <c r="HH71" i="7"/>
  <c r="HH70" i="7"/>
  <c r="DI87" i="7"/>
  <c r="ID86" i="7"/>
  <c r="HB70" i="7"/>
  <c r="HG73" i="7"/>
  <c r="HI73" i="7" s="1"/>
  <c r="HB74" i="7"/>
  <c r="HA73" i="7"/>
  <c r="HC73" i="7" s="1"/>
  <c r="HD73" i="7" s="1"/>
  <c r="HC70" i="7"/>
  <c r="HD70" i="7" s="1"/>
  <c r="GU74" i="7"/>
  <c r="HF74" i="7" s="1"/>
  <c r="IE70" i="7"/>
  <c r="GT86" i="7"/>
  <c r="HY85" i="7"/>
  <c r="HY87" i="7"/>
  <c r="HY88" i="7"/>
  <c r="HY84" i="7"/>
  <c r="HY83" i="7"/>
  <c r="HW85" i="7"/>
  <c r="GR86" i="7"/>
  <c r="FR88" i="7"/>
  <c r="EI90" i="7"/>
  <c r="EO90" i="7"/>
  <c r="EQ90" i="7" s="1"/>
  <c r="FO90" i="7" s="1"/>
  <c r="FP90" i="7" s="1"/>
  <c r="FQ90" i="7" s="1"/>
  <c r="EH91" i="7"/>
  <c r="EH92" i="7" s="1"/>
  <c r="EH93" i="7" s="1"/>
  <c r="EH94" i="7" s="1"/>
  <c r="EH95" i="7" s="1"/>
  <c r="EI89" i="7"/>
  <c r="EO89" i="7"/>
  <c r="EQ89" i="7" s="1"/>
  <c r="FO89" i="7" s="1"/>
  <c r="FP89" i="7" s="1"/>
  <c r="FQ89" i="7" s="1"/>
  <c r="FR87" i="7"/>
  <c r="FC90" i="7"/>
  <c r="FD89" i="7"/>
  <c r="GJ80" i="7"/>
  <c r="GK80" i="7" s="1"/>
  <c r="HT80" i="7" s="1"/>
  <c r="EU81" i="7"/>
  <c r="EV80" i="7"/>
  <c r="FT80" i="7"/>
  <c r="GB80" i="7"/>
  <c r="HS80" i="7" s="1"/>
  <c r="GH80" i="7"/>
  <c r="GC80" i="7"/>
  <c r="FS80" i="7"/>
  <c r="IE74" i="7"/>
  <c r="IA74" i="7"/>
  <c r="IF74" i="7" s="1"/>
  <c r="GI79" i="7"/>
  <c r="HX79" i="7" s="1"/>
  <c r="IC86" i="7"/>
  <c r="IB86" i="7"/>
  <c r="CJ89" i="7"/>
  <c r="I157" i="4"/>
  <c r="HH74" i="7" l="1"/>
  <c r="HJ73" i="7"/>
  <c r="DI88" i="7"/>
  <c r="ID87" i="7"/>
  <c r="HG70" i="7"/>
  <c r="HG74" i="7"/>
  <c r="HI74" i="7" s="1"/>
  <c r="HA74" i="7"/>
  <c r="HC74" i="7" s="1"/>
  <c r="HD74" i="7" s="1"/>
  <c r="GT87" i="7"/>
  <c r="HY90" i="7"/>
  <c r="HY89" i="7"/>
  <c r="HW86" i="7"/>
  <c r="GR87" i="7"/>
  <c r="EO94" i="7"/>
  <c r="EQ94" i="7" s="1"/>
  <c r="FO94" i="7" s="1"/>
  <c r="FP94" i="7" s="1"/>
  <c r="FQ94" i="7" s="1"/>
  <c r="FR89" i="7"/>
  <c r="EI94" i="7"/>
  <c r="EO93" i="7"/>
  <c r="EQ93" i="7" s="1"/>
  <c r="FO93" i="7" s="1"/>
  <c r="FP93" i="7" s="1"/>
  <c r="FQ93" i="7" s="1"/>
  <c r="EI93" i="7"/>
  <c r="EO92" i="7"/>
  <c r="EQ92" i="7" s="1"/>
  <c r="FO92" i="7" s="1"/>
  <c r="FP92" i="7" s="1"/>
  <c r="FQ92" i="7" s="1"/>
  <c r="EI92" i="7"/>
  <c r="EI91" i="7"/>
  <c r="EO91" i="7"/>
  <c r="EQ91" i="7" s="1"/>
  <c r="FO91" i="7" s="1"/>
  <c r="FP91" i="7" s="1"/>
  <c r="FQ91" i="7" s="1"/>
  <c r="FC91" i="7"/>
  <c r="FD90" i="7"/>
  <c r="FR90" i="7" s="1"/>
  <c r="EH96" i="7"/>
  <c r="EI95" i="7"/>
  <c r="EO95" i="7"/>
  <c r="EQ95" i="7" s="1"/>
  <c r="FO95" i="7" s="1"/>
  <c r="FP95" i="7" s="1"/>
  <c r="GJ81" i="7"/>
  <c r="GK81" i="7" s="1"/>
  <c r="HT81" i="7" s="1"/>
  <c r="EV81" i="7"/>
  <c r="FT81" i="7"/>
  <c r="GB81" i="7"/>
  <c r="HS81" i="7" s="1"/>
  <c r="GC81" i="7"/>
  <c r="GH81" i="7"/>
  <c r="FS81" i="7"/>
  <c r="IC87" i="7"/>
  <c r="IB87" i="7"/>
  <c r="GI80" i="7"/>
  <c r="HX80" i="7" s="1"/>
  <c r="CJ90" i="7"/>
  <c r="I158" i="4"/>
  <c r="HJ74" i="7" l="1"/>
  <c r="HJ71" i="7"/>
  <c r="HI71" i="7"/>
  <c r="HI70" i="7"/>
  <c r="HJ70" i="7"/>
  <c r="DI89" i="7"/>
  <c r="ID88" i="7"/>
  <c r="GT88" i="7"/>
  <c r="HY93" i="7"/>
  <c r="HY91" i="7"/>
  <c r="HY94" i="7"/>
  <c r="HY92" i="7"/>
  <c r="GR88" i="7"/>
  <c r="HW87" i="7"/>
  <c r="FC92" i="7"/>
  <c r="FD91" i="7"/>
  <c r="FR91" i="7" s="1"/>
  <c r="EH97" i="7"/>
  <c r="EI96" i="7"/>
  <c r="EO96" i="7"/>
  <c r="EQ96" i="7" s="1"/>
  <c r="FO96" i="7" s="1"/>
  <c r="FP96" i="7" s="1"/>
  <c r="FQ95" i="7"/>
  <c r="GJ82" i="7"/>
  <c r="GK82" i="7" s="1"/>
  <c r="HT82" i="7" s="1"/>
  <c r="EU82" i="7"/>
  <c r="FS82" i="7" s="1"/>
  <c r="IC88" i="7"/>
  <c r="IB88" i="7"/>
  <c r="GI81" i="7"/>
  <c r="HX81" i="7" s="1"/>
  <c r="CJ91" i="7"/>
  <c r="I159" i="4"/>
  <c r="HK70" i="7"/>
  <c r="HK73" i="7"/>
  <c r="HK74" i="7"/>
  <c r="HK71" i="7"/>
  <c r="HK72" i="7"/>
  <c r="DI90" i="7" l="1"/>
  <c r="ID89" i="7"/>
  <c r="GT89" i="7"/>
  <c r="HY95" i="7"/>
  <c r="HW88" i="7"/>
  <c r="GR89" i="7"/>
  <c r="FC93" i="7"/>
  <c r="FD92" i="7"/>
  <c r="FR92" i="7" s="1"/>
  <c r="FQ96" i="7"/>
  <c r="EH98" i="7"/>
  <c r="EI97" i="7"/>
  <c r="EO97" i="7"/>
  <c r="EQ97" i="7" s="1"/>
  <c r="FO97" i="7" s="1"/>
  <c r="FP97" i="7" s="1"/>
  <c r="EU83" i="7"/>
  <c r="GH83" i="7" s="1"/>
  <c r="GJ83" i="7"/>
  <c r="GK83" i="7" s="1"/>
  <c r="HT83" i="7" s="1"/>
  <c r="EV82" i="7"/>
  <c r="GH82" i="7"/>
  <c r="GB82" i="7"/>
  <c r="HS82" i="7" s="1"/>
  <c r="GC82" i="7"/>
  <c r="FT82" i="7"/>
  <c r="EU84" i="7"/>
  <c r="CJ92" i="7"/>
  <c r="IC89" i="7"/>
  <c r="IB89" i="7"/>
  <c r="I160" i="4"/>
  <c r="DI91" i="7" l="1"/>
  <c r="ID90" i="7"/>
  <c r="GT90" i="7"/>
  <c r="HY96" i="7"/>
  <c r="HW89" i="7"/>
  <c r="GR90" i="7"/>
  <c r="FC94" i="7"/>
  <c r="FD93" i="7"/>
  <c r="FR93" i="7" s="1"/>
  <c r="FQ97" i="7"/>
  <c r="EH99" i="7"/>
  <c r="EI98" i="7"/>
  <c r="EO98" i="7"/>
  <c r="EQ98" i="7" s="1"/>
  <c r="FO98" i="7" s="1"/>
  <c r="FP98" i="7" s="1"/>
  <c r="GC83" i="7"/>
  <c r="EV83" i="7"/>
  <c r="FS83" i="7"/>
  <c r="GB83" i="7"/>
  <c r="HS83" i="7" s="1"/>
  <c r="FT83" i="7"/>
  <c r="GI82" i="7"/>
  <c r="HX82" i="7" s="1"/>
  <c r="EU85" i="7"/>
  <c r="GJ84" i="7"/>
  <c r="GK84" i="7" s="1"/>
  <c r="HT84" i="7" s="1"/>
  <c r="EV84" i="7"/>
  <c r="FT84" i="7"/>
  <c r="GB84" i="7"/>
  <c r="HS84" i="7" s="1"/>
  <c r="IC90" i="7"/>
  <c r="IB90" i="7"/>
  <c r="CJ93" i="7"/>
  <c r="GH84" i="7"/>
  <c r="GC84" i="7"/>
  <c r="FS84" i="7"/>
  <c r="I161" i="4"/>
  <c r="DI92" i="7" l="1"/>
  <c r="ID91" i="7"/>
  <c r="GT91" i="7"/>
  <c r="HY97" i="7"/>
  <c r="GR91" i="7"/>
  <c r="HW90" i="7"/>
  <c r="FC95" i="7"/>
  <c r="FD94" i="7"/>
  <c r="FR94" i="7" s="1"/>
  <c r="FQ98" i="7"/>
  <c r="EH100" i="7"/>
  <c r="EI99" i="7"/>
  <c r="EO99" i="7"/>
  <c r="EQ99" i="7" s="1"/>
  <c r="FO99" i="7" s="1"/>
  <c r="FP99" i="7" s="1"/>
  <c r="GI83" i="7"/>
  <c r="HX83" i="7" s="1"/>
  <c r="EU86" i="7"/>
  <c r="GJ85" i="7"/>
  <c r="GK85" i="7" s="1"/>
  <c r="HT85" i="7" s="1"/>
  <c r="EV85" i="7"/>
  <c r="FT85" i="7"/>
  <c r="GB85" i="7"/>
  <c r="HS85" i="7" s="1"/>
  <c r="IC91" i="7"/>
  <c r="IB91" i="7"/>
  <c r="GI84" i="7"/>
  <c r="HX84" i="7" s="1"/>
  <c r="GH85" i="7"/>
  <c r="GC85" i="7"/>
  <c r="FS85" i="7"/>
  <c r="CJ94" i="7"/>
  <c r="I162" i="4"/>
  <c r="DI93" i="7" l="1"/>
  <c r="ID92" i="7"/>
  <c r="GT92" i="7"/>
  <c r="HY98" i="7"/>
  <c r="GR92" i="7"/>
  <c r="HW91" i="7"/>
  <c r="FC96" i="7"/>
  <c r="FD95" i="7"/>
  <c r="FR95" i="7" s="1"/>
  <c r="FQ99" i="7"/>
  <c r="EH101" i="7"/>
  <c r="EI100" i="7"/>
  <c r="EO100" i="7"/>
  <c r="EQ100" i="7" s="1"/>
  <c r="FO100" i="7" s="1"/>
  <c r="FP100" i="7" s="1"/>
  <c r="GJ86" i="7"/>
  <c r="GK86" i="7" s="1"/>
  <c r="HT86" i="7" s="1"/>
  <c r="EU87" i="7"/>
  <c r="FT86" i="7"/>
  <c r="EV86" i="7"/>
  <c r="GB86" i="7"/>
  <c r="HS86" i="7" s="1"/>
  <c r="CJ95" i="7"/>
  <c r="IC92" i="7"/>
  <c r="IB92" i="7"/>
  <c r="GH86" i="7"/>
  <c r="GC86" i="7"/>
  <c r="FS86" i="7"/>
  <c r="GI85" i="7"/>
  <c r="HX85" i="7" s="1"/>
  <c r="I163" i="4"/>
  <c r="DI94" i="7" l="1"/>
  <c r="ID93" i="7"/>
  <c r="GT93" i="7"/>
  <c r="HY99" i="7"/>
  <c r="HW92" i="7"/>
  <c r="GR93" i="7"/>
  <c r="FC97" i="7"/>
  <c r="FD96" i="7"/>
  <c r="FR96" i="7" s="1"/>
  <c r="FQ100" i="7"/>
  <c r="EH102" i="7"/>
  <c r="EI101" i="7"/>
  <c r="EO101" i="7"/>
  <c r="EQ101" i="7" s="1"/>
  <c r="FO101" i="7" s="1"/>
  <c r="FP101" i="7" s="1"/>
  <c r="GJ87" i="7"/>
  <c r="GK87" i="7" s="1"/>
  <c r="HT87" i="7" s="1"/>
  <c r="EU88" i="7"/>
  <c r="FT87" i="7"/>
  <c r="EV87" i="7"/>
  <c r="GB87" i="7"/>
  <c r="HS87" i="7" s="1"/>
  <c r="GH87" i="7"/>
  <c r="GC87" i="7"/>
  <c r="FS87" i="7"/>
  <c r="GI86" i="7"/>
  <c r="HX86" i="7" s="1"/>
  <c r="IC93" i="7"/>
  <c r="IB93" i="7"/>
  <c r="CJ96" i="7"/>
  <c r="I164" i="4"/>
  <c r="DI95" i="7" l="1"/>
  <c r="ID94" i="7"/>
  <c r="GT94" i="7"/>
  <c r="HY100" i="7"/>
  <c r="HW93" i="7"/>
  <c r="GR94" i="7"/>
  <c r="FC98" i="7"/>
  <c r="FD97" i="7"/>
  <c r="FR97" i="7" s="1"/>
  <c r="FQ101" i="7"/>
  <c r="EH103" i="7"/>
  <c r="EI102" i="7"/>
  <c r="EO102" i="7"/>
  <c r="EQ102" i="7" s="1"/>
  <c r="FO102" i="7" s="1"/>
  <c r="FP102" i="7" s="1"/>
  <c r="GJ88" i="7"/>
  <c r="GK88" i="7" s="1"/>
  <c r="HT88" i="7" s="1"/>
  <c r="FT88" i="7"/>
  <c r="EV88" i="7"/>
  <c r="GB88" i="7"/>
  <c r="HS88" i="7" s="1"/>
  <c r="GI87" i="7"/>
  <c r="HX87" i="7" s="1"/>
  <c r="CJ97" i="7"/>
  <c r="IC94" i="7"/>
  <c r="IB94" i="7"/>
  <c r="GH88" i="7"/>
  <c r="GC88" i="7"/>
  <c r="FS88" i="7"/>
  <c r="I165" i="4"/>
  <c r="DI96" i="7" l="1"/>
  <c r="ID95" i="7"/>
  <c r="GT95" i="7"/>
  <c r="HY101" i="7"/>
  <c r="GR95" i="7"/>
  <c r="HW94" i="7"/>
  <c r="FC99" i="7"/>
  <c r="FD98" i="7"/>
  <c r="FR98" i="7" s="1"/>
  <c r="FQ102" i="7"/>
  <c r="EH104" i="7"/>
  <c r="EI103" i="7"/>
  <c r="EO103" i="7"/>
  <c r="EQ103" i="7" s="1"/>
  <c r="FO103" i="7" s="1"/>
  <c r="FP103" i="7" s="1"/>
  <c r="EU90" i="7"/>
  <c r="GJ89" i="7"/>
  <c r="GK89" i="7" s="1"/>
  <c r="HT89" i="7" s="1"/>
  <c r="EU89" i="7"/>
  <c r="GH89" i="7" s="1"/>
  <c r="GI88" i="7"/>
  <c r="HX88" i="7" s="1"/>
  <c r="IC95" i="7"/>
  <c r="IB95" i="7"/>
  <c r="CJ98" i="7"/>
  <c r="I166" i="4"/>
  <c r="DI97" i="7" l="1"/>
  <c r="ID96" i="7"/>
  <c r="GT96" i="7"/>
  <c r="HY102" i="7"/>
  <c r="GR96" i="7"/>
  <c r="HW95" i="7"/>
  <c r="FC100" i="7"/>
  <c r="FD99" i="7"/>
  <c r="FR99" i="7" s="1"/>
  <c r="FQ103" i="7"/>
  <c r="EH105" i="7"/>
  <c r="EH106" i="7" s="1"/>
  <c r="EI104" i="7"/>
  <c r="EO104" i="7"/>
  <c r="EQ104" i="7" s="1"/>
  <c r="FO104" i="7" s="1"/>
  <c r="FP104" i="7" s="1"/>
  <c r="FT89" i="7"/>
  <c r="EV89" i="7"/>
  <c r="FS89" i="7"/>
  <c r="GB89" i="7"/>
  <c r="HS89" i="7" s="1"/>
  <c r="GC89" i="7"/>
  <c r="EU91" i="7"/>
  <c r="GJ90" i="7"/>
  <c r="GK90" i="7" s="1"/>
  <c r="HT90" i="7" s="1"/>
  <c r="FT90" i="7"/>
  <c r="EV90" i="7"/>
  <c r="GB90" i="7"/>
  <c r="HS90" i="7" s="1"/>
  <c r="IC96" i="7"/>
  <c r="IB96" i="7"/>
  <c r="CJ99" i="7"/>
  <c r="GH90" i="7"/>
  <c r="GC90" i="7"/>
  <c r="FS90" i="7"/>
  <c r="I167" i="4"/>
  <c r="DI98" i="7" l="1"/>
  <c r="ID97" i="7"/>
  <c r="GT97" i="7"/>
  <c r="HY103" i="7"/>
  <c r="EI106" i="7"/>
  <c r="EH107" i="7"/>
  <c r="EO106" i="7"/>
  <c r="EQ106" i="7" s="1"/>
  <c r="FO106" i="7" s="1"/>
  <c r="FP106" i="7" s="1"/>
  <c r="HW96" i="7"/>
  <c r="GR97" i="7"/>
  <c r="FC101" i="7"/>
  <c r="FD100" i="7"/>
  <c r="FR100" i="7" s="1"/>
  <c r="EI105" i="7"/>
  <c r="EO105" i="7"/>
  <c r="EQ105" i="7" s="1"/>
  <c r="FO105" i="7" s="1"/>
  <c r="FP105" i="7" s="1"/>
  <c r="GI89" i="7"/>
  <c r="HX89" i="7" s="1"/>
  <c r="EU92" i="7"/>
  <c r="GJ91" i="7"/>
  <c r="GK91" i="7" s="1"/>
  <c r="HT91" i="7" s="1"/>
  <c r="FT91" i="7"/>
  <c r="EV91" i="7"/>
  <c r="GB91" i="7"/>
  <c r="HS91" i="7" s="1"/>
  <c r="GH91" i="7"/>
  <c r="GC91" i="7"/>
  <c r="FS91" i="7"/>
  <c r="GI90" i="7"/>
  <c r="HX90" i="7" s="1"/>
  <c r="CJ100" i="7"/>
  <c r="IC97" i="7"/>
  <c r="IB97" i="7"/>
  <c r="I168" i="4"/>
  <c r="DI99" i="7" l="1"/>
  <c r="ID98" i="7"/>
  <c r="GT98" i="7"/>
  <c r="EO107" i="7"/>
  <c r="EQ107" i="7" s="1"/>
  <c r="FO107" i="7" s="1"/>
  <c r="FP107" i="7" s="1"/>
  <c r="FQ107" i="7" s="1"/>
  <c r="EH108" i="7"/>
  <c r="EI107" i="7"/>
  <c r="HW97" i="7"/>
  <c r="GR98" i="7"/>
  <c r="FC102" i="7"/>
  <c r="FD101" i="7"/>
  <c r="FR101" i="7" s="1"/>
  <c r="GJ92" i="7"/>
  <c r="GK92" i="7" s="1"/>
  <c r="HT92" i="7" s="1"/>
  <c r="EU93" i="7"/>
  <c r="FT92" i="7"/>
  <c r="EV92" i="7"/>
  <c r="GB92" i="7"/>
  <c r="HS92" i="7" s="1"/>
  <c r="GH92" i="7"/>
  <c r="GC92" i="7"/>
  <c r="FS92" i="7"/>
  <c r="IC98" i="7"/>
  <c r="IB98" i="7"/>
  <c r="CJ101" i="7"/>
  <c r="GI91" i="7"/>
  <c r="HX91" i="7" s="1"/>
  <c r="I169" i="4"/>
  <c r="DI100" i="7" l="1"/>
  <c r="ID99" i="7"/>
  <c r="GT99" i="7"/>
  <c r="HY107" i="7"/>
  <c r="EO108" i="7"/>
  <c r="EQ108" i="7" s="1"/>
  <c r="FO108" i="7" s="1"/>
  <c r="FP108" i="7" s="1"/>
  <c r="FQ108" i="7" s="1"/>
  <c r="EH109" i="7"/>
  <c r="EI108" i="7"/>
  <c r="HW98" i="7"/>
  <c r="GR99" i="7"/>
  <c r="FC103" i="7"/>
  <c r="FD102" i="7"/>
  <c r="FR102" i="7" s="1"/>
  <c r="GJ93" i="7"/>
  <c r="GK93" i="7" s="1"/>
  <c r="HT93" i="7" s="1"/>
  <c r="EU94" i="7"/>
  <c r="FT93" i="7"/>
  <c r="EV93" i="7"/>
  <c r="GB93" i="7"/>
  <c r="HS93" i="7" s="1"/>
  <c r="CJ102" i="7"/>
  <c r="GH93" i="7"/>
  <c r="GC93" i="7"/>
  <c r="FS93" i="7"/>
  <c r="IC99" i="7"/>
  <c r="IB99" i="7"/>
  <c r="GI92" i="7"/>
  <c r="HX92" i="7" s="1"/>
  <c r="I170" i="4"/>
  <c r="DI101" i="7" l="1"/>
  <c r="ID100" i="7"/>
  <c r="GT100" i="7"/>
  <c r="HY108" i="7"/>
  <c r="EI109" i="7"/>
  <c r="EH110" i="7"/>
  <c r="EO109" i="7"/>
  <c r="EQ109" i="7" s="1"/>
  <c r="FO109" i="7" s="1"/>
  <c r="FP109" i="7" s="1"/>
  <c r="FQ109" i="7" s="1"/>
  <c r="HW99" i="7"/>
  <c r="GR100" i="7"/>
  <c r="FC104" i="7"/>
  <c r="FD103" i="7"/>
  <c r="FR103" i="7" s="1"/>
  <c r="EU95" i="7"/>
  <c r="GJ94" i="7"/>
  <c r="GK94" i="7" s="1"/>
  <c r="HT94" i="7" s="1"/>
  <c r="FT94" i="7"/>
  <c r="EV94" i="7"/>
  <c r="GB94" i="7"/>
  <c r="HS94" i="7" s="1"/>
  <c r="CJ103" i="7"/>
  <c r="IC100" i="7"/>
  <c r="IB100" i="7"/>
  <c r="GH94" i="7"/>
  <c r="GC94" i="7"/>
  <c r="FS94" i="7"/>
  <c r="GI93" i="7"/>
  <c r="HX93" i="7" s="1"/>
  <c r="I171" i="4"/>
  <c r="DI102" i="7" l="1"/>
  <c r="ID101" i="7"/>
  <c r="GT101" i="7"/>
  <c r="HY109" i="7"/>
  <c r="EO110" i="7"/>
  <c r="EQ110" i="7" s="1"/>
  <c r="FO110" i="7" s="1"/>
  <c r="FP110" i="7" s="1"/>
  <c r="FQ110" i="7" s="1"/>
  <c r="EH111" i="7"/>
  <c r="EI110" i="7"/>
  <c r="HW100" i="7"/>
  <c r="GR101" i="7"/>
  <c r="FC105" i="7"/>
  <c r="FD104" i="7"/>
  <c r="FR104" i="7" s="1"/>
  <c r="GJ95" i="7"/>
  <c r="GK95" i="7" s="1"/>
  <c r="HT95" i="7" s="1"/>
  <c r="EU96" i="7"/>
  <c r="FT95" i="7"/>
  <c r="EV95" i="7"/>
  <c r="GB95" i="7"/>
  <c r="HS95" i="7" s="1"/>
  <c r="GI94" i="7"/>
  <c r="HX94" i="7" s="1"/>
  <c r="CJ104" i="7"/>
  <c r="GH95" i="7"/>
  <c r="GC95" i="7"/>
  <c r="FS95" i="7"/>
  <c r="IC101" i="7"/>
  <c r="IB101" i="7"/>
  <c r="I172" i="4"/>
  <c r="DI103" i="7" l="1"/>
  <c r="ID102" i="7"/>
  <c r="GT102" i="7"/>
  <c r="HY110" i="7"/>
  <c r="EO111" i="7"/>
  <c r="EQ111" i="7" s="1"/>
  <c r="FO111" i="7" s="1"/>
  <c r="FP111" i="7" s="1"/>
  <c r="FQ111" i="7" s="1"/>
  <c r="EH112" i="7"/>
  <c r="EI111" i="7"/>
  <c r="HW101" i="7"/>
  <c r="GR102" i="7"/>
  <c r="FC106" i="7"/>
  <c r="FD105" i="7"/>
  <c r="FR105" i="7" s="1"/>
  <c r="GJ96" i="7"/>
  <c r="GK96" i="7" s="1"/>
  <c r="HT96" i="7" s="1"/>
  <c r="EU97" i="7"/>
  <c r="EV96" i="7"/>
  <c r="FT96" i="7"/>
  <c r="GB96" i="7"/>
  <c r="HS96" i="7" s="1"/>
  <c r="GI95" i="7"/>
  <c r="HX95" i="7" s="1"/>
  <c r="CJ105" i="7"/>
  <c r="IC102" i="7"/>
  <c r="IB102" i="7"/>
  <c r="GH96" i="7"/>
  <c r="GC96" i="7"/>
  <c r="FS96" i="7"/>
  <c r="I173" i="4"/>
  <c r="DI104" i="7" l="1"/>
  <c r="ID103" i="7"/>
  <c r="GT103" i="7"/>
  <c r="HY111" i="7"/>
  <c r="EI112" i="7"/>
  <c r="EH113" i="7"/>
  <c r="EO112" i="7"/>
  <c r="EQ112" i="7" s="1"/>
  <c r="FO112" i="7" s="1"/>
  <c r="FP112" i="7" s="1"/>
  <c r="FQ112" i="7" s="1"/>
  <c r="HW102" i="7"/>
  <c r="GR103" i="7"/>
  <c r="FC107" i="7"/>
  <c r="FD106" i="7"/>
  <c r="FR106" i="7" s="1"/>
  <c r="GJ97" i="7"/>
  <c r="GK97" i="7" s="1"/>
  <c r="HT97" i="7" s="1"/>
  <c r="EU98" i="7"/>
  <c r="FT97" i="7"/>
  <c r="EV97" i="7"/>
  <c r="GB97" i="7"/>
  <c r="HS97" i="7" s="1"/>
  <c r="CJ106" i="7"/>
  <c r="IC103" i="7"/>
  <c r="IB103" i="7"/>
  <c r="GI96" i="7"/>
  <c r="HX96" i="7" s="1"/>
  <c r="GH97" i="7"/>
  <c r="GC97" i="7"/>
  <c r="FS97" i="7"/>
  <c r="I174" i="4"/>
  <c r="DI105" i="7" l="1"/>
  <c r="ID104" i="7"/>
  <c r="GT104" i="7"/>
  <c r="HY112" i="7"/>
  <c r="EO113" i="7"/>
  <c r="EQ113" i="7" s="1"/>
  <c r="FO113" i="7" s="1"/>
  <c r="FP113" i="7" s="1"/>
  <c r="FQ113" i="7" s="1"/>
  <c r="EH114" i="7"/>
  <c r="EI113" i="7"/>
  <c r="HW103" i="7"/>
  <c r="GR104" i="7"/>
  <c r="FC108" i="7"/>
  <c r="FD107" i="7"/>
  <c r="FR107" i="7" s="1"/>
  <c r="EU99" i="7"/>
  <c r="GJ98" i="7"/>
  <c r="GK98" i="7" s="1"/>
  <c r="HT98" i="7" s="1"/>
  <c r="FT98" i="7"/>
  <c r="EV98" i="7"/>
  <c r="GB98" i="7"/>
  <c r="HS98" i="7" s="1"/>
  <c r="CJ107" i="7"/>
  <c r="GH98" i="7"/>
  <c r="GC98" i="7"/>
  <c r="FS98" i="7"/>
  <c r="GI97" i="7"/>
  <c r="HX97" i="7" s="1"/>
  <c r="IC104" i="7"/>
  <c r="IB104" i="7"/>
  <c r="I175" i="4"/>
  <c r="DI106" i="7" l="1"/>
  <c r="ID105" i="7"/>
  <c r="GT105" i="7"/>
  <c r="HY113" i="7"/>
  <c r="EI114" i="7"/>
  <c r="EH115" i="7"/>
  <c r="EO114" i="7"/>
  <c r="EQ114" i="7" s="1"/>
  <c r="FO114" i="7" s="1"/>
  <c r="FP114" i="7" s="1"/>
  <c r="FQ114" i="7" s="1"/>
  <c r="HW104" i="7"/>
  <c r="GR105" i="7"/>
  <c r="FC109" i="7"/>
  <c r="FD108" i="7"/>
  <c r="FR108" i="7" s="1"/>
  <c r="GJ99" i="7"/>
  <c r="GK99" i="7" s="1"/>
  <c r="HT99" i="7" s="1"/>
  <c r="FT99" i="7"/>
  <c r="EV99" i="7"/>
  <c r="GB99" i="7"/>
  <c r="HS99" i="7" s="1"/>
  <c r="GI98" i="7"/>
  <c r="HX98" i="7" s="1"/>
  <c r="CJ108" i="7"/>
  <c r="IC105" i="7"/>
  <c r="IB105" i="7"/>
  <c r="GH99" i="7"/>
  <c r="GC99" i="7"/>
  <c r="FS99" i="7"/>
  <c r="I176" i="4"/>
  <c r="DI107" i="7" l="1"/>
  <c r="ID106" i="7"/>
  <c r="GT106" i="7"/>
  <c r="HY114" i="7"/>
  <c r="EI115" i="7"/>
  <c r="EH116" i="7"/>
  <c r="EO115" i="7"/>
  <c r="EQ115" i="7" s="1"/>
  <c r="FO115" i="7" s="1"/>
  <c r="FP115" i="7" s="1"/>
  <c r="FQ115" i="7" s="1"/>
  <c r="HW105" i="7"/>
  <c r="GR106" i="7"/>
  <c r="FC110" i="7"/>
  <c r="FD109" i="7"/>
  <c r="FR109" i="7" s="1"/>
  <c r="GJ100" i="7"/>
  <c r="GK100" i="7" s="1"/>
  <c r="HT100" i="7" s="1"/>
  <c r="EU101" i="7"/>
  <c r="EU100" i="7"/>
  <c r="GH100" i="7" s="1"/>
  <c r="GI99" i="7"/>
  <c r="HX99" i="7" s="1"/>
  <c r="CJ109" i="7"/>
  <c r="IC106" i="7"/>
  <c r="IB106" i="7"/>
  <c r="I177" i="4"/>
  <c r="DI108" i="7" l="1"/>
  <c r="ID107" i="7"/>
  <c r="GT107" i="7"/>
  <c r="HY115" i="7"/>
  <c r="EO116" i="7"/>
  <c r="EQ116" i="7" s="1"/>
  <c r="FO116" i="7" s="1"/>
  <c r="FP116" i="7" s="1"/>
  <c r="FQ116" i="7" s="1"/>
  <c r="EH117" i="7"/>
  <c r="EI116" i="7"/>
  <c r="HW106" i="7"/>
  <c r="GR107" i="7"/>
  <c r="FC111" i="7"/>
  <c r="FD110" i="7"/>
  <c r="FR110" i="7" s="1"/>
  <c r="GB100" i="7"/>
  <c r="HS100" i="7" s="1"/>
  <c r="FS100" i="7"/>
  <c r="EV100" i="7"/>
  <c r="GC100" i="7"/>
  <c r="FT100" i="7"/>
  <c r="EU102" i="7"/>
  <c r="GJ101" i="7"/>
  <c r="GK101" i="7" s="1"/>
  <c r="HT101" i="7" s="1"/>
  <c r="EV101" i="7"/>
  <c r="FT101" i="7"/>
  <c r="GB101" i="7"/>
  <c r="HS101" i="7" s="1"/>
  <c r="IC107" i="7"/>
  <c r="IB107" i="7"/>
  <c r="CJ110" i="7"/>
  <c r="GH101" i="7"/>
  <c r="GC101" i="7"/>
  <c r="FS101" i="7"/>
  <c r="I178" i="4"/>
  <c r="DI109" i="7" l="1"/>
  <c r="ID108" i="7"/>
  <c r="GT108" i="7"/>
  <c r="HY116" i="7"/>
  <c r="EI117" i="7"/>
  <c r="EH118" i="7"/>
  <c r="EO117" i="7"/>
  <c r="EQ117" i="7" s="1"/>
  <c r="FO117" i="7" s="1"/>
  <c r="FP117" i="7" s="1"/>
  <c r="FQ117" i="7" s="1"/>
  <c r="GR108" i="7"/>
  <c r="HW107" i="7"/>
  <c r="FC112" i="7"/>
  <c r="FD111" i="7"/>
  <c r="FR111" i="7" s="1"/>
  <c r="GI100" i="7"/>
  <c r="HX100" i="7" s="1"/>
  <c r="GJ102" i="7"/>
  <c r="GK102" i="7" s="1"/>
  <c r="HT102" i="7" s="1"/>
  <c r="EU103" i="7"/>
  <c r="FT102" i="7"/>
  <c r="EV102" i="7"/>
  <c r="GB102" i="7"/>
  <c r="HS102" i="7" s="1"/>
  <c r="GH102" i="7"/>
  <c r="GC102" i="7"/>
  <c r="FS102" i="7"/>
  <c r="CJ111" i="7"/>
  <c r="GI101" i="7"/>
  <c r="HX101" i="7" s="1"/>
  <c r="IC108" i="7"/>
  <c r="IB108" i="7"/>
  <c r="I179" i="4"/>
  <c r="DI110" i="7" l="1"/>
  <c r="ID109" i="7"/>
  <c r="GT109" i="7"/>
  <c r="HY117" i="7"/>
  <c r="EI118" i="7"/>
  <c r="EH119" i="7"/>
  <c r="EO118" i="7"/>
  <c r="EQ118" i="7" s="1"/>
  <c r="FO118" i="7" s="1"/>
  <c r="FP118" i="7" s="1"/>
  <c r="FQ118" i="7" s="1"/>
  <c r="HW108" i="7"/>
  <c r="GR109" i="7"/>
  <c r="FC113" i="7"/>
  <c r="FD112" i="7"/>
  <c r="FR112" i="7" s="1"/>
  <c r="GJ103" i="7"/>
  <c r="GK103" i="7" s="1"/>
  <c r="HT103" i="7" s="1"/>
  <c r="FT103" i="7"/>
  <c r="EV103" i="7"/>
  <c r="GB103" i="7"/>
  <c r="HS103" i="7" s="1"/>
  <c r="IC109" i="7"/>
  <c r="IB109" i="7"/>
  <c r="CJ112" i="7"/>
  <c r="GH103" i="7"/>
  <c r="GC103" i="7"/>
  <c r="FS103" i="7"/>
  <c r="GI102" i="7"/>
  <c r="HX102" i="7" s="1"/>
  <c r="I180" i="4"/>
  <c r="DI111" i="7" l="1"/>
  <c r="ID110" i="7"/>
  <c r="GT110" i="7"/>
  <c r="HY118" i="7"/>
  <c r="EO119" i="7"/>
  <c r="EQ119" i="7" s="1"/>
  <c r="FO119" i="7" s="1"/>
  <c r="FP119" i="7" s="1"/>
  <c r="FQ119" i="7" s="1"/>
  <c r="EH120" i="7"/>
  <c r="EI119" i="7"/>
  <c r="HW109" i="7"/>
  <c r="GR110" i="7"/>
  <c r="FC114" i="7"/>
  <c r="FD113" i="7"/>
  <c r="FR113" i="7" s="1"/>
  <c r="CJ113" i="7"/>
  <c r="GI103" i="7"/>
  <c r="HX103" i="7" s="1"/>
  <c r="IC110" i="7"/>
  <c r="IB110" i="7"/>
  <c r="I181" i="4"/>
  <c r="DI112" i="7" l="1"/>
  <c r="ID111" i="7"/>
  <c r="GT111" i="7"/>
  <c r="HY119" i="7"/>
  <c r="EI120" i="7"/>
  <c r="EH121" i="7"/>
  <c r="EO120" i="7"/>
  <c r="EQ120" i="7" s="1"/>
  <c r="FO120" i="7" s="1"/>
  <c r="FP120" i="7" s="1"/>
  <c r="FQ120" i="7" s="1"/>
  <c r="HW110" i="7"/>
  <c r="GR111" i="7"/>
  <c r="FC115" i="7"/>
  <c r="FD114" i="7"/>
  <c r="FR114" i="7" s="1"/>
  <c r="CJ114" i="7"/>
  <c r="IB111" i="7"/>
  <c r="IC111" i="7"/>
  <c r="I182" i="4"/>
  <c r="DI113" i="7" l="1"/>
  <c r="ID112" i="7"/>
  <c r="GT112" i="7"/>
  <c r="HY120" i="7"/>
  <c r="EO121" i="7"/>
  <c r="EQ121" i="7" s="1"/>
  <c r="FO121" i="7" s="1"/>
  <c r="FP121" i="7" s="1"/>
  <c r="FQ121" i="7" s="1"/>
  <c r="EH122" i="7"/>
  <c r="EI121" i="7"/>
  <c r="HW111" i="7"/>
  <c r="GR112" i="7"/>
  <c r="FC116" i="7"/>
  <c r="FD115" i="7"/>
  <c r="FR115" i="7" s="1"/>
  <c r="CJ115" i="7"/>
  <c r="IB112" i="7"/>
  <c r="IC112" i="7"/>
  <c r="I183" i="4"/>
  <c r="DI114" i="7" l="1"/>
  <c r="ID113" i="7"/>
  <c r="GT113" i="7"/>
  <c r="HY121" i="7"/>
  <c r="EO122" i="7"/>
  <c r="EQ122" i="7" s="1"/>
  <c r="FO122" i="7" s="1"/>
  <c r="FP122" i="7" s="1"/>
  <c r="FQ122" i="7" s="1"/>
  <c r="EH123" i="7"/>
  <c r="EI122" i="7"/>
  <c r="HW112" i="7"/>
  <c r="GR113" i="7"/>
  <c r="FC117" i="7"/>
  <c r="FD116" i="7"/>
  <c r="FR116" i="7" s="1"/>
  <c r="CJ116" i="7"/>
  <c r="IB113" i="7"/>
  <c r="IC113" i="7"/>
  <c r="I184" i="4"/>
  <c r="DI115" i="7" l="1"/>
  <c r="ID114" i="7"/>
  <c r="GT114" i="7"/>
  <c r="HY122" i="7"/>
  <c r="EI123" i="7"/>
  <c r="EH124" i="7"/>
  <c r="EO123" i="7"/>
  <c r="EQ123" i="7" s="1"/>
  <c r="FO123" i="7" s="1"/>
  <c r="FP123" i="7" s="1"/>
  <c r="FQ123" i="7" s="1"/>
  <c r="HW113" i="7"/>
  <c r="GR114" i="7"/>
  <c r="FC118" i="7"/>
  <c r="FD117" i="7"/>
  <c r="FR117" i="7" s="1"/>
  <c r="IB114" i="7"/>
  <c r="IC114" i="7"/>
  <c r="CJ117" i="7"/>
  <c r="I185" i="4"/>
  <c r="DI116" i="7" l="1"/>
  <c r="ID115" i="7"/>
  <c r="GT115" i="7"/>
  <c r="HY123" i="7"/>
  <c r="EI124" i="7"/>
  <c r="EH125" i="7"/>
  <c r="EO124" i="7"/>
  <c r="EQ124" i="7" s="1"/>
  <c r="FO124" i="7" s="1"/>
  <c r="FP124" i="7" s="1"/>
  <c r="FQ124" i="7" s="1"/>
  <c r="HW114" i="7"/>
  <c r="GR115" i="7"/>
  <c r="FC119" i="7"/>
  <c r="FD118" i="7"/>
  <c r="FR118" i="7" s="1"/>
  <c r="CJ118" i="7"/>
  <c r="IB115" i="7"/>
  <c r="IC115" i="7"/>
  <c r="I186" i="4"/>
  <c r="DI117" i="7" l="1"/>
  <c r="ID116" i="7"/>
  <c r="GT116" i="7"/>
  <c r="HY124" i="7"/>
  <c r="EI125" i="7"/>
  <c r="EH126" i="7"/>
  <c r="EO125" i="7"/>
  <c r="EQ125" i="7" s="1"/>
  <c r="FO125" i="7" s="1"/>
  <c r="FP125" i="7" s="1"/>
  <c r="FQ125" i="7" s="1"/>
  <c r="HW115" i="7"/>
  <c r="GR116" i="7"/>
  <c r="FC120" i="7"/>
  <c r="FD119" i="7"/>
  <c r="FR119" i="7" s="1"/>
  <c r="CJ119" i="7"/>
  <c r="IB116" i="7"/>
  <c r="IC116" i="7"/>
  <c r="I187" i="4"/>
  <c r="DI118" i="7" l="1"/>
  <c r="ID117" i="7"/>
  <c r="GT117" i="7"/>
  <c r="HY125" i="7"/>
  <c r="EI126" i="7"/>
  <c r="EH127" i="7"/>
  <c r="EO126" i="7"/>
  <c r="EQ126" i="7" s="1"/>
  <c r="FO126" i="7" s="1"/>
  <c r="FP126" i="7" s="1"/>
  <c r="FQ126" i="7" s="1"/>
  <c r="HW116" i="7"/>
  <c r="GR117" i="7"/>
  <c r="FC121" i="7"/>
  <c r="FD120" i="7"/>
  <c r="FR120" i="7" s="1"/>
  <c r="CJ120" i="7"/>
  <c r="IB117" i="7"/>
  <c r="IC117" i="7"/>
  <c r="I188" i="4"/>
  <c r="DI119" i="7" l="1"/>
  <c r="ID118" i="7"/>
  <c r="GT118" i="7"/>
  <c r="HY126" i="7"/>
  <c r="EI127" i="7"/>
  <c r="EH128" i="7"/>
  <c r="EO127" i="7"/>
  <c r="EQ127" i="7" s="1"/>
  <c r="FO127" i="7" s="1"/>
  <c r="FP127" i="7" s="1"/>
  <c r="FQ127" i="7" s="1"/>
  <c r="GR118" i="7"/>
  <c r="HW117" i="7"/>
  <c r="FC122" i="7"/>
  <c r="FD121" i="7"/>
  <c r="FR121" i="7" s="1"/>
  <c r="IB118" i="7"/>
  <c r="IC118" i="7"/>
  <c r="CJ121" i="7"/>
  <c r="I189" i="4"/>
  <c r="DI120" i="7" l="1"/>
  <c r="ID119" i="7"/>
  <c r="GT119" i="7"/>
  <c r="HY127" i="7"/>
  <c r="EI128" i="7"/>
  <c r="EH129" i="7"/>
  <c r="EO128" i="7"/>
  <c r="EQ128" i="7" s="1"/>
  <c r="FO128" i="7" s="1"/>
  <c r="FP128" i="7" s="1"/>
  <c r="FQ128" i="7" s="1"/>
  <c r="HW118" i="7"/>
  <c r="GR119" i="7"/>
  <c r="FC123" i="7"/>
  <c r="FD122" i="7"/>
  <c r="FR122" i="7" s="1"/>
  <c r="CJ122" i="7"/>
  <c r="IB119" i="7"/>
  <c r="IC119" i="7"/>
  <c r="I190" i="4"/>
  <c r="DI121" i="7" l="1"/>
  <c r="ID120" i="7"/>
  <c r="GT120" i="7"/>
  <c r="HY128" i="7"/>
  <c r="EI129" i="7"/>
  <c r="EH130" i="7"/>
  <c r="EO129" i="7"/>
  <c r="EQ129" i="7" s="1"/>
  <c r="FO129" i="7" s="1"/>
  <c r="FP129" i="7" s="1"/>
  <c r="FQ129" i="7" s="1"/>
  <c r="GR120" i="7"/>
  <c r="HW119" i="7"/>
  <c r="FC124" i="7"/>
  <c r="FD123" i="7"/>
  <c r="FR123" i="7" s="1"/>
  <c r="IB120" i="7"/>
  <c r="IC120" i="7"/>
  <c r="CJ123" i="7"/>
  <c r="I191" i="4"/>
  <c r="DI122" i="7" l="1"/>
  <c r="ID121" i="7"/>
  <c r="GT121" i="7"/>
  <c r="HY129" i="7"/>
  <c r="EI130" i="7"/>
  <c r="EH131" i="7"/>
  <c r="EO130" i="7"/>
  <c r="EQ130" i="7" s="1"/>
  <c r="FO130" i="7" s="1"/>
  <c r="FP130" i="7" s="1"/>
  <c r="FQ130" i="7" s="1"/>
  <c r="HW120" i="7"/>
  <c r="GR121" i="7"/>
  <c r="FC125" i="7"/>
  <c r="FD124" i="7"/>
  <c r="FR124" i="7" s="1"/>
  <c r="CJ124" i="7"/>
  <c r="IB121" i="7"/>
  <c r="IC121" i="7"/>
  <c r="I192" i="4"/>
  <c r="DI123" i="7" l="1"/>
  <c r="ID122" i="7"/>
  <c r="GT122" i="7"/>
  <c r="HY130" i="7"/>
  <c r="EI131" i="7"/>
  <c r="EH132" i="7"/>
  <c r="EO131" i="7"/>
  <c r="EQ131" i="7" s="1"/>
  <c r="FO131" i="7" s="1"/>
  <c r="FP131" i="7" s="1"/>
  <c r="FQ131" i="7" s="1"/>
  <c r="GR122" i="7"/>
  <c r="HW121" i="7"/>
  <c r="FC126" i="7"/>
  <c r="FD125" i="7"/>
  <c r="FR125" i="7" s="1"/>
  <c r="IC122" i="7"/>
  <c r="IB122" i="7"/>
  <c r="CJ125" i="7"/>
  <c r="I193" i="4"/>
  <c r="DI124" i="7" l="1"/>
  <c r="ID123" i="7"/>
  <c r="GT123" i="7"/>
  <c r="HY131" i="7"/>
  <c r="EI132" i="7"/>
  <c r="EH133" i="7"/>
  <c r="EO132" i="7"/>
  <c r="EQ132" i="7" s="1"/>
  <c r="FO132" i="7" s="1"/>
  <c r="FP132" i="7" s="1"/>
  <c r="FQ132" i="7" s="1"/>
  <c r="HW122" i="7"/>
  <c r="GR123" i="7"/>
  <c r="FC127" i="7"/>
  <c r="FD126" i="7"/>
  <c r="FR126" i="7" s="1"/>
  <c r="CJ126" i="7"/>
  <c r="IC123" i="7"/>
  <c r="IB123" i="7"/>
  <c r="I194" i="4"/>
  <c r="DI125" i="7" l="1"/>
  <c r="ID124" i="7"/>
  <c r="GT124" i="7"/>
  <c r="HY132" i="7"/>
  <c r="EI133" i="7"/>
  <c r="EH134" i="7"/>
  <c r="EO133" i="7"/>
  <c r="EQ133" i="7" s="1"/>
  <c r="FO133" i="7" s="1"/>
  <c r="FP133" i="7" s="1"/>
  <c r="FQ133" i="7" s="1"/>
  <c r="GR124" i="7"/>
  <c r="HW123" i="7"/>
  <c r="FC128" i="7"/>
  <c r="FD127" i="7"/>
  <c r="FR127" i="7" s="1"/>
  <c r="IC124" i="7"/>
  <c r="IB124" i="7"/>
  <c r="CJ127" i="7"/>
  <c r="I195" i="4"/>
  <c r="DI126" i="7" l="1"/>
  <c r="ID125" i="7"/>
  <c r="GT125" i="7"/>
  <c r="HY133" i="7"/>
  <c r="EI134" i="7"/>
  <c r="EH135" i="7"/>
  <c r="EO134" i="7"/>
  <c r="EQ134" i="7" s="1"/>
  <c r="FO134" i="7" s="1"/>
  <c r="FP134" i="7" s="1"/>
  <c r="FQ134" i="7" s="1"/>
  <c r="HW124" i="7"/>
  <c r="GR125" i="7"/>
  <c r="FC129" i="7"/>
  <c r="FD128" i="7"/>
  <c r="FR128" i="7" s="1"/>
  <c r="CJ128" i="7"/>
  <c r="IC125" i="7"/>
  <c r="IB125" i="7"/>
  <c r="I196" i="4"/>
  <c r="DI127" i="7" l="1"/>
  <c r="ID126" i="7"/>
  <c r="GT126" i="7"/>
  <c r="HY134" i="7"/>
  <c r="EI135" i="7"/>
  <c r="EH136" i="7"/>
  <c r="EO135" i="7"/>
  <c r="EQ135" i="7" s="1"/>
  <c r="FO135" i="7" s="1"/>
  <c r="FP135" i="7" s="1"/>
  <c r="FQ135" i="7" s="1"/>
  <c r="HW125" i="7"/>
  <c r="GR126" i="7"/>
  <c r="FC130" i="7"/>
  <c r="FD129" i="7"/>
  <c r="FR129" i="7" s="1"/>
  <c r="IC126" i="7"/>
  <c r="IB126" i="7"/>
  <c r="CJ129" i="7"/>
  <c r="I197" i="4"/>
  <c r="DI128" i="7" l="1"/>
  <c r="ID127" i="7"/>
  <c r="GT127" i="7"/>
  <c r="HY135" i="7"/>
  <c r="EI136" i="7"/>
  <c r="EH137" i="7"/>
  <c r="EO136" i="7"/>
  <c r="EQ136" i="7" s="1"/>
  <c r="FO136" i="7" s="1"/>
  <c r="FP136" i="7" s="1"/>
  <c r="FQ136" i="7" s="1"/>
  <c r="GR127" i="7"/>
  <c r="HW126" i="7"/>
  <c r="FC131" i="7"/>
  <c r="FD130" i="7"/>
  <c r="FR130" i="7" s="1"/>
  <c r="IC127" i="7"/>
  <c r="IB127" i="7"/>
  <c r="CJ130" i="7"/>
  <c r="I198" i="4"/>
  <c r="DI129" i="7" l="1"/>
  <c r="ID128" i="7"/>
  <c r="GT128" i="7"/>
  <c r="HY136" i="7"/>
  <c r="EI137" i="7"/>
  <c r="EH138" i="7"/>
  <c r="EO137" i="7"/>
  <c r="EQ137" i="7" s="1"/>
  <c r="FO137" i="7" s="1"/>
  <c r="FP137" i="7" s="1"/>
  <c r="FQ137" i="7" s="1"/>
  <c r="HW127" i="7"/>
  <c r="GR128" i="7"/>
  <c r="FC132" i="7"/>
  <c r="FD131" i="7"/>
  <c r="FR131" i="7" s="1"/>
  <c r="IC128" i="7"/>
  <c r="IB128" i="7"/>
  <c r="CJ131" i="7"/>
  <c r="I199" i="4"/>
  <c r="DI130" i="7" l="1"/>
  <c r="ID129" i="7"/>
  <c r="GT129" i="7"/>
  <c r="HY137" i="7"/>
  <c r="EO138" i="7"/>
  <c r="EQ138" i="7" s="1"/>
  <c r="FO138" i="7" s="1"/>
  <c r="FP138" i="7" s="1"/>
  <c r="FQ138" i="7" s="1"/>
  <c r="EH139" i="7"/>
  <c r="EI138" i="7"/>
  <c r="GR129" i="7"/>
  <c r="HW128" i="7"/>
  <c r="FC133" i="7"/>
  <c r="FD132" i="7"/>
  <c r="FR132" i="7" s="1"/>
  <c r="IC129" i="7"/>
  <c r="IB129" i="7"/>
  <c r="CJ132" i="7"/>
  <c r="I200" i="4"/>
  <c r="DI131" i="7" l="1"/>
  <c r="ID130" i="7"/>
  <c r="GT130" i="7"/>
  <c r="HY138" i="7"/>
  <c r="EH140" i="7"/>
  <c r="EH141" i="7" s="1"/>
  <c r="EH142" i="7" s="1"/>
  <c r="EH143" i="7" s="1"/>
  <c r="EH144" i="7" s="1"/>
  <c r="EH145" i="7" s="1"/>
  <c r="EH146" i="7" s="1"/>
  <c r="EH147" i="7" s="1"/>
  <c r="EH148" i="7" s="1"/>
  <c r="EH149" i="7" s="1"/>
  <c r="EH150" i="7" s="1"/>
  <c r="EO139" i="7"/>
  <c r="EQ139" i="7" s="1"/>
  <c r="FO139" i="7" s="1"/>
  <c r="FP139" i="7" s="1"/>
  <c r="FQ139" i="7" s="1"/>
  <c r="EI139" i="7"/>
  <c r="HW129" i="7"/>
  <c r="GR130" i="7"/>
  <c r="FC134" i="7"/>
  <c r="FD133" i="7"/>
  <c r="FR133" i="7" s="1"/>
  <c r="CJ133" i="7"/>
  <c r="IC130" i="7"/>
  <c r="IB130" i="7"/>
  <c r="I201" i="4"/>
  <c r="DI132" i="7" l="1"/>
  <c r="ID131" i="7"/>
  <c r="GT131" i="7"/>
  <c r="HY139" i="7"/>
  <c r="GR131" i="7"/>
  <c r="HW130" i="7"/>
  <c r="FC135" i="7"/>
  <c r="FD134" i="7"/>
  <c r="FR134" i="7" s="1"/>
  <c r="IC131" i="7"/>
  <c r="IB131" i="7"/>
  <c r="CJ134" i="7"/>
  <c r="I202" i="4"/>
  <c r="DI133" i="7" l="1"/>
  <c r="ID132" i="7"/>
  <c r="GT132" i="7"/>
  <c r="HW131" i="7"/>
  <c r="GR132" i="7"/>
  <c r="FC136" i="7"/>
  <c r="FD135" i="7"/>
  <c r="FR135" i="7" s="1"/>
  <c r="CJ135" i="7"/>
  <c r="IC132" i="7"/>
  <c r="IB132" i="7"/>
  <c r="I203" i="4"/>
  <c r="DI134" i="7" l="1"/>
  <c r="ID133" i="7"/>
  <c r="GT133" i="7"/>
  <c r="HW132" i="7"/>
  <c r="GR133" i="7"/>
  <c r="FC137" i="7"/>
  <c r="FD136" i="7"/>
  <c r="FR136" i="7" s="1"/>
  <c r="IC133" i="7"/>
  <c r="IB133" i="7"/>
  <c r="CJ136" i="7"/>
  <c r="I204" i="4"/>
  <c r="DI135" i="7" l="1"/>
  <c r="ID134" i="7"/>
  <c r="GT134" i="7"/>
  <c r="GR134" i="7"/>
  <c r="HW133" i="7"/>
  <c r="FC138" i="7"/>
  <c r="FD137" i="7"/>
  <c r="FR137" i="7" s="1"/>
  <c r="CJ137" i="7"/>
  <c r="IC134" i="7"/>
  <c r="IB134" i="7"/>
  <c r="I205" i="4"/>
  <c r="DI136" i="7" l="1"/>
  <c r="ID135" i="7"/>
  <c r="GT135" i="7"/>
  <c r="HW134" i="7"/>
  <c r="GR135" i="7"/>
  <c r="FC139" i="7"/>
  <c r="FD138" i="7"/>
  <c r="FR138" i="7" s="1"/>
  <c r="CJ138" i="7"/>
  <c r="IC135" i="7"/>
  <c r="IB135" i="7"/>
  <c r="I206" i="4"/>
  <c r="DI137" i="7" l="1"/>
  <c r="ID136" i="7"/>
  <c r="GT136" i="7"/>
  <c r="GR136" i="7"/>
  <c r="HW135" i="7"/>
  <c r="FC140" i="7"/>
  <c r="FD139" i="7"/>
  <c r="FR139" i="7" s="1"/>
  <c r="CJ139" i="7"/>
  <c r="IC136" i="7"/>
  <c r="IB136" i="7"/>
  <c r="I207" i="4"/>
  <c r="DI138" i="7" l="1"/>
  <c r="ID137" i="7"/>
  <c r="GT137" i="7"/>
  <c r="HW136" i="7"/>
  <c r="GR137" i="7"/>
  <c r="FC141" i="7"/>
  <c r="FD140" i="7"/>
  <c r="IC137" i="7"/>
  <c r="IB137" i="7"/>
  <c r="CJ140" i="7"/>
  <c r="I208" i="4"/>
  <c r="DI139" i="7" l="1"/>
  <c r="ID138" i="7"/>
  <c r="GT138" i="7"/>
  <c r="HW137" i="7"/>
  <c r="GR138" i="7"/>
  <c r="FC142" i="7"/>
  <c r="FD141" i="7"/>
  <c r="IC138" i="7"/>
  <c r="IB138" i="7"/>
  <c r="CJ141" i="7"/>
  <c r="I209" i="4"/>
  <c r="DI140" i="7" l="1"/>
  <c r="ID139" i="7"/>
  <c r="GT139" i="7"/>
  <c r="GR139" i="7"/>
  <c r="HW138" i="7"/>
  <c r="FC143" i="7"/>
  <c r="FD142" i="7"/>
  <c r="CJ142" i="7"/>
  <c r="IC139" i="7"/>
  <c r="IB139" i="7"/>
  <c r="I210" i="4"/>
  <c r="DI141" i="7" l="1"/>
  <c r="ID140" i="7"/>
  <c r="GT140" i="7"/>
  <c r="GR140" i="7"/>
  <c r="HW139" i="7"/>
  <c r="FC144" i="7"/>
  <c r="FD143" i="7"/>
  <c r="IC140" i="7"/>
  <c r="IB140" i="7"/>
  <c r="CJ143" i="7"/>
  <c r="I211" i="4"/>
  <c r="DI142" i="7" l="1"/>
  <c r="ID141" i="7"/>
  <c r="GT141" i="7"/>
  <c r="HW140" i="7"/>
  <c r="GR141" i="7"/>
  <c r="FC145" i="7"/>
  <c r="FD144" i="7"/>
  <c r="IC141" i="7"/>
  <c r="IB141" i="7"/>
  <c r="CJ144" i="7"/>
  <c r="I212" i="4"/>
  <c r="DI143" i="7" l="1"/>
  <c r="ID142" i="7"/>
  <c r="GT142" i="7"/>
  <c r="HW141" i="7"/>
  <c r="GR142" i="7"/>
  <c r="FC146" i="7"/>
  <c r="FD145" i="7"/>
  <c r="CJ145" i="7"/>
  <c r="IC142" i="7"/>
  <c r="IB142" i="7"/>
  <c r="I213" i="4"/>
  <c r="DI144" i="7" l="1"/>
  <c r="ID143" i="7"/>
  <c r="GT143" i="7"/>
  <c r="GR143" i="7"/>
  <c r="HW142" i="7"/>
  <c r="FC147" i="7"/>
  <c r="FD146" i="7"/>
  <c r="CJ146" i="7"/>
  <c r="IC143" i="7"/>
  <c r="IB143" i="7"/>
  <c r="I214" i="4"/>
  <c r="DI145" i="7" l="1"/>
  <c r="ID144" i="7"/>
  <c r="GT144" i="7"/>
  <c r="HW143" i="7"/>
  <c r="GR144" i="7"/>
  <c r="FC148" i="7"/>
  <c r="FD147" i="7"/>
  <c r="IC144" i="7"/>
  <c r="IB144" i="7"/>
  <c r="CJ147" i="7"/>
  <c r="I215" i="4"/>
  <c r="DI146" i="7" l="1"/>
  <c r="ID145" i="7"/>
  <c r="GT145" i="7"/>
  <c r="GR145" i="7"/>
  <c r="HW144" i="7"/>
  <c r="FC149" i="7"/>
  <c r="FD148" i="7"/>
  <c r="CJ148" i="7"/>
  <c r="IC145" i="7"/>
  <c r="IB145" i="7"/>
  <c r="I216" i="4"/>
  <c r="DI147" i="7" l="1"/>
  <c r="ID146" i="7"/>
  <c r="GT146" i="7"/>
  <c r="HW145" i="7"/>
  <c r="GR146" i="7"/>
  <c r="FC150" i="7"/>
  <c r="FD149" i="7"/>
  <c r="CJ149" i="7"/>
  <c r="IC146" i="7"/>
  <c r="IB146" i="7"/>
  <c r="I217" i="4"/>
  <c r="DI148" i="7" l="1"/>
  <c r="ID147" i="7"/>
  <c r="GT147" i="7"/>
  <c r="GR147" i="7"/>
  <c r="HW146" i="7"/>
  <c r="FC151" i="7"/>
  <c r="FD150" i="7"/>
  <c r="CJ150" i="7"/>
  <c r="IC147" i="7"/>
  <c r="IB147" i="7"/>
  <c r="I218" i="4"/>
  <c r="DI149" i="7" l="1"/>
  <c r="ID148" i="7"/>
  <c r="GT148" i="7"/>
  <c r="HW147" i="7"/>
  <c r="GR148" i="7"/>
  <c r="FC152" i="7"/>
  <c r="FD151" i="7"/>
  <c r="IB148" i="7"/>
  <c r="IC148" i="7"/>
  <c r="CJ151" i="7"/>
  <c r="I219" i="4"/>
  <c r="DI150" i="7" l="1"/>
  <c r="ID149" i="7"/>
  <c r="GT149" i="7"/>
  <c r="GR150" i="7"/>
  <c r="GR149" i="7"/>
  <c r="HW148" i="7"/>
  <c r="FC153" i="7"/>
  <c r="FD152" i="7"/>
  <c r="IB149" i="7"/>
  <c r="IC149" i="7"/>
  <c r="CJ152" i="7"/>
  <c r="I220" i="4"/>
  <c r="DI151" i="7" l="1"/>
  <c r="ID150" i="7"/>
  <c r="GT150" i="7"/>
  <c r="HW149" i="7"/>
  <c r="FC154" i="7"/>
  <c r="FD153" i="7"/>
  <c r="IB150" i="7"/>
  <c r="IC150" i="7"/>
  <c r="CJ153" i="7"/>
  <c r="I221" i="4"/>
  <c r="DI152" i="7" l="1"/>
  <c r="ID151" i="7"/>
  <c r="GT151" i="7"/>
  <c r="HW150" i="7"/>
  <c r="GR151" i="7"/>
  <c r="FC155" i="7"/>
  <c r="FD154" i="7"/>
  <c r="IC151" i="7"/>
  <c r="IB151" i="7"/>
  <c r="CJ154" i="7"/>
  <c r="I222" i="4"/>
  <c r="DI153" i="7" l="1"/>
  <c r="GT153" i="7" s="1"/>
  <c r="ID152" i="7"/>
  <c r="GT152" i="7"/>
  <c r="GR152" i="7"/>
  <c r="HW151" i="7"/>
  <c r="FC156" i="7"/>
  <c r="FD156" i="7" s="1"/>
  <c r="FD155" i="7"/>
  <c r="FR155" i="7" s="1"/>
  <c r="IC152" i="7"/>
  <c r="IB152" i="7"/>
  <c r="CJ155" i="7"/>
  <c r="I223" i="4"/>
  <c r="DI154" i="7" l="1"/>
  <c r="ID153" i="7"/>
  <c r="HW152" i="7"/>
  <c r="GR153" i="7"/>
  <c r="IB153" i="7"/>
  <c r="IC153" i="7"/>
  <c r="CJ156" i="7"/>
  <c r="I224" i="4"/>
  <c r="DI155" i="7" l="1"/>
  <c r="ID154" i="7"/>
  <c r="GT154" i="7"/>
  <c r="HW153" i="7"/>
  <c r="GR154" i="7"/>
  <c r="IB154" i="7"/>
  <c r="IC154" i="7"/>
  <c r="I225" i="4"/>
  <c r="DI156" i="7" l="1"/>
  <c r="ID156" i="7" s="1"/>
  <c r="ID155" i="7"/>
  <c r="GT155" i="7"/>
  <c r="GR155" i="7"/>
  <c r="HW154" i="7"/>
  <c r="IB155" i="7"/>
  <c r="IC155" i="7"/>
  <c r="I226" i="4"/>
  <c r="GT156" i="7" l="1"/>
  <c r="GR156" i="7"/>
  <c r="HW156" i="7" s="1"/>
  <c r="IC156" i="7"/>
  <c r="HW155" i="7"/>
  <c r="IB156" i="7"/>
  <c r="I227" i="4"/>
  <c r="I228" i="4" l="1"/>
  <c r="I229" i="4" l="1"/>
  <c r="I230" i="4" l="1"/>
  <c r="I231" i="4" l="1"/>
  <c r="I232" i="4" l="1"/>
  <c r="I233" i="4" l="1"/>
  <c r="I234" i="4" l="1"/>
  <c r="I235" i="4" l="1"/>
  <c r="I236" i="4" l="1"/>
  <c r="I237" i="4" l="1"/>
  <c r="I238" i="4" l="1"/>
  <c r="I239" i="4" l="1"/>
  <c r="I240" i="4" l="1"/>
  <c r="I241" i="4" l="1"/>
  <c r="I242" i="4" l="1"/>
  <c r="I243" i="4" l="1"/>
  <c r="I244" i="4" l="1"/>
  <c r="I245" i="4" l="1"/>
  <c r="I246" i="4" l="1"/>
  <c r="I247" i="4" l="1"/>
  <c r="I248" i="4" l="1"/>
  <c r="I249" i="4" l="1"/>
  <c r="I250" i="4" l="1"/>
  <c r="I251" i="4" l="1"/>
  <c r="I252" i="4" l="1"/>
  <c r="I253" i="4" l="1"/>
  <c r="I254" i="4" l="1"/>
  <c r="I255" i="4" l="1"/>
  <c r="I256" i="4" l="1"/>
  <c r="I257" i="4" l="1"/>
  <c r="I258" i="4" l="1"/>
  <c r="I259" i="4" l="1"/>
  <c r="I260" i="4" l="1"/>
  <c r="I261" i="4" l="1"/>
  <c r="I262" i="4" l="1"/>
  <c r="I263" i="4" l="1"/>
  <c r="I264" i="4" l="1"/>
  <c r="I265" i="4" l="1"/>
  <c r="I266" i="4" l="1"/>
  <c r="I267" i="4" l="1"/>
  <c r="I268" i="4" l="1"/>
  <c r="I269" i="4" l="1"/>
  <c r="I270" i="4" l="1"/>
  <c r="I271" i="4" l="1"/>
  <c r="I272" i="4" l="1"/>
  <c r="I273" i="4" l="1"/>
  <c r="I274" i="4" l="1"/>
  <c r="I275" i="4" l="1"/>
  <c r="I276" i="4" l="1"/>
  <c r="I277" i="4" l="1"/>
  <c r="I278" i="4" l="1"/>
  <c r="I279" i="4" l="1"/>
  <c r="I280" i="4" l="1"/>
  <c r="I281" i="4" l="1"/>
  <c r="I282" i="4" l="1"/>
  <c r="I283" i="4" l="1"/>
  <c r="I284" i="4" l="1"/>
  <c r="I285" i="4" l="1"/>
  <c r="J284" i="4" s="1"/>
  <c r="I286" i="4" l="1"/>
  <c r="J286" i="4" s="1"/>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EZ104" i="7" l="1"/>
  <c r="FQ104" i="7" s="1"/>
  <c r="EI156" i="7"/>
  <c r="EO156" i="7"/>
  <c r="HY104" i="7" l="1"/>
  <c r="EZ105" i="7"/>
  <c r="FQ105" i="7" s="1"/>
  <c r="EU104" i="7"/>
  <c r="GJ104" i="7"/>
  <c r="GK104" i="7" s="1"/>
  <c r="HT104" i="7" s="1"/>
  <c r="EQ156" i="7"/>
  <c r="FO156" i="7" s="1"/>
  <c r="FP156" i="7" s="1"/>
  <c r="EI140" i="7"/>
  <c r="EO140" i="7"/>
  <c r="HY105" i="7" l="1"/>
  <c r="GH104" i="7"/>
  <c r="EV104" i="7"/>
  <c r="GC104" i="7"/>
  <c r="FS104" i="7"/>
  <c r="FT104" i="7"/>
  <c r="GB104" i="7"/>
  <c r="HS104" i="7" s="1"/>
  <c r="EU105" i="7"/>
  <c r="GJ105" i="7"/>
  <c r="GK105" i="7" s="1"/>
  <c r="HT105" i="7" s="1"/>
  <c r="EQ140" i="7"/>
  <c r="FO140" i="7" s="1"/>
  <c r="FP140" i="7" s="1"/>
  <c r="EO141" i="7"/>
  <c r="EI141" i="7"/>
  <c r="FR156" i="7"/>
  <c r="FQ156" i="7"/>
  <c r="HY156" i="7" l="1"/>
  <c r="GI104" i="7"/>
  <c r="HX104" i="7" s="1"/>
  <c r="FS105" i="7"/>
  <c r="GC105" i="7"/>
  <c r="EV105" i="7"/>
  <c r="GB105" i="7"/>
  <c r="HS105" i="7" s="1"/>
  <c r="FT105" i="7"/>
  <c r="GH105" i="7"/>
  <c r="EQ141" i="7"/>
  <c r="FO141" i="7" s="1"/>
  <c r="FP141" i="7" s="1"/>
  <c r="FR140" i="7"/>
  <c r="FQ140" i="7"/>
  <c r="HY140" i="7" l="1"/>
  <c r="GI105" i="7"/>
  <c r="HX105" i="7" s="1"/>
  <c r="FR141" i="7"/>
  <c r="FQ141" i="7"/>
  <c r="HY141" i="7" l="1"/>
  <c r="EI153" i="7" l="1"/>
  <c r="EI142" i="7"/>
  <c r="EI151" i="7"/>
  <c r="EI146" i="7"/>
  <c r="EI144" i="7"/>
  <c r="EI143" i="7"/>
  <c r="EI152" i="7"/>
  <c r="EI147" i="7"/>
  <c r="EI149" i="7"/>
  <c r="EI145" i="7"/>
  <c r="EI150" i="7"/>
  <c r="EI154" i="7"/>
  <c r="EI148" i="7"/>
  <c r="EO151" i="7"/>
  <c r="EQ151" i="7" s="1"/>
  <c r="FO151" i="7" s="1"/>
  <c r="FP151" i="7" s="1"/>
  <c r="EO144" i="7"/>
  <c r="EO150" i="7"/>
  <c r="EQ150" i="7" s="1"/>
  <c r="FO150" i="7" s="1"/>
  <c r="FP150" i="7" s="1"/>
  <c r="EO149" i="7"/>
  <c r="EO147" i="7"/>
  <c r="EQ147" i="7" s="1"/>
  <c r="FO147" i="7" s="1"/>
  <c r="FP147" i="7" s="1"/>
  <c r="EO153" i="7"/>
  <c r="EQ153" i="7" s="1"/>
  <c r="FO153" i="7" s="1"/>
  <c r="FP153" i="7" s="1"/>
  <c r="EO154" i="7"/>
  <c r="EO148" i="7"/>
  <c r="EO146" i="7"/>
  <c r="EQ146" i="7" s="1"/>
  <c r="FO146" i="7" s="1"/>
  <c r="FP146" i="7" s="1"/>
  <c r="EO143" i="7"/>
  <c r="EQ143" i="7" s="1"/>
  <c r="FO143" i="7" s="1"/>
  <c r="FP143" i="7" s="1"/>
  <c r="EO145" i="7"/>
  <c r="EO142" i="7"/>
  <c r="EQ142" i="7" s="1"/>
  <c r="FO142" i="7" s="1"/>
  <c r="FP142" i="7" s="1"/>
  <c r="EO152" i="7"/>
  <c r="EQ152" i="7" s="1"/>
  <c r="FO152" i="7" s="1"/>
  <c r="FP152" i="7" s="1"/>
  <c r="EQ145" i="7" l="1"/>
  <c r="FO145" i="7" s="1"/>
  <c r="FP145" i="7" s="1"/>
  <c r="FR145" i="7" s="1"/>
  <c r="EQ154" i="7"/>
  <c r="FO154" i="7" s="1"/>
  <c r="FP154" i="7" s="1"/>
  <c r="FR154" i="7" s="1"/>
  <c r="EQ149" i="7"/>
  <c r="EQ148" i="7"/>
  <c r="FO148" i="7" s="1"/>
  <c r="FP148" i="7" s="1"/>
  <c r="FQ148" i="7" s="1"/>
  <c r="FR143" i="7"/>
  <c r="FQ143" i="7"/>
  <c r="FQ150" i="7"/>
  <c r="FR150" i="7"/>
  <c r="FR153" i="7"/>
  <c r="FQ153" i="7"/>
  <c r="FR152" i="7"/>
  <c r="FQ152" i="7"/>
  <c r="FR147" i="7"/>
  <c r="FQ147" i="7"/>
  <c r="FR151" i="7"/>
  <c r="FQ151" i="7"/>
  <c r="FR146" i="7"/>
  <c r="FQ146" i="7"/>
  <c r="FQ142" i="7"/>
  <c r="FR142" i="7"/>
  <c r="EQ144" i="7"/>
  <c r="FO144" i="7" s="1"/>
  <c r="FP144" i="7" s="1"/>
  <c r="HY148" i="7" l="1"/>
  <c r="HY146" i="7"/>
  <c r="HY152" i="7"/>
  <c r="HY153" i="7"/>
  <c r="HY150" i="7"/>
  <c r="HY142" i="7"/>
  <c r="HY151" i="7"/>
  <c r="HY147" i="7"/>
  <c r="HY143" i="7"/>
  <c r="FO149" i="7"/>
  <c r="FP149" i="7" s="1"/>
  <c r="FQ145" i="7"/>
  <c r="FR148" i="7"/>
  <c r="FQ154" i="7"/>
  <c r="FQ144" i="7"/>
  <c r="FR144" i="7"/>
  <c r="HY144" i="7" l="1"/>
  <c r="HY154" i="7"/>
  <c r="HY145" i="7"/>
  <c r="FR149" i="7"/>
  <c r="FQ149" i="7"/>
  <c r="GJ106" i="7"/>
  <c r="GK106" i="7" s="1"/>
  <c r="HT106" i="7" s="1"/>
  <c r="EU106" i="7"/>
  <c r="HY149" i="7" l="1"/>
  <c r="GC106" i="7"/>
  <c r="FS106" i="7"/>
  <c r="EV106" i="7"/>
  <c r="GH106" i="7"/>
  <c r="FT106" i="7"/>
  <c r="GB106" i="7"/>
  <c r="HS106" i="7" s="1"/>
  <c r="EU107" i="7"/>
  <c r="GJ107" i="7"/>
  <c r="GK107" i="7" s="1"/>
  <c r="HT107" i="7" s="1"/>
  <c r="GI106" i="7" l="1"/>
  <c r="HX106" i="7" s="1"/>
  <c r="EV107" i="7"/>
  <c r="GH107" i="7"/>
  <c r="FT107" i="7"/>
  <c r="GB107" i="7"/>
  <c r="HS107" i="7" s="1"/>
  <c r="GC107" i="7"/>
  <c r="FS107" i="7"/>
  <c r="GJ108" i="7"/>
  <c r="GK108" i="7" s="1"/>
  <c r="HT108" i="7" s="1"/>
  <c r="EU108" i="7"/>
  <c r="GJ109" i="7" l="1"/>
  <c r="GK109" i="7" s="1"/>
  <c r="HT109" i="7" s="1"/>
  <c r="EU109" i="7"/>
  <c r="GI107" i="7"/>
  <c r="HX107" i="7" s="1"/>
  <c r="GB108" i="7"/>
  <c r="HS108" i="7" s="1"/>
  <c r="GC108" i="7"/>
  <c r="FS108" i="7"/>
  <c r="GH108" i="7"/>
  <c r="FT108" i="7"/>
  <c r="EV108" i="7"/>
  <c r="FS109" i="7" l="1"/>
  <c r="GH109" i="7"/>
  <c r="FT109" i="7"/>
  <c r="GB109" i="7"/>
  <c r="HS109" i="7" s="1"/>
  <c r="EV109" i="7"/>
  <c r="GC109" i="7"/>
  <c r="GI108" i="7"/>
  <c r="HX108" i="7" s="1"/>
  <c r="GI109" i="7" l="1"/>
  <c r="HX109" i="7" s="1"/>
  <c r="GJ140" i="7" l="1"/>
  <c r="GK140" i="7" s="1"/>
  <c r="HT140" i="7" s="1"/>
  <c r="GJ132" i="7"/>
  <c r="GK132" i="7" s="1"/>
  <c r="HT132" i="7" s="1"/>
  <c r="GJ116" i="7"/>
  <c r="GK116" i="7" s="1"/>
  <c r="HT116" i="7" s="1"/>
  <c r="GJ118" i="7"/>
  <c r="GK118" i="7" s="1"/>
  <c r="HT118" i="7" s="1"/>
  <c r="GJ114" i="7"/>
  <c r="GK114" i="7" s="1"/>
  <c r="HT114" i="7" s="1"/>
  <c r="GJ130" i="7"/>
  <c r="GK130" i="7" s="1"/>
  <c r="HT130" i="7" s="1"/>
  <c r="GJ117" i="7"/>
  <c r="GK117" i="7" s="1"/>
  <c r="HT117" i="7" s="1"/>
  <c r="GJ138" i="7"/>
  <c r="GK138" i="7" s="1"/>
  <c r="HT138" i="7" s="1"/>
  <c r="GJ112" i="7"/>
  <c r="GK112" i="7" s="1"/>
  <c r="HT112" i="7" s="1"/>
  <c r="GJ135" i="7"/>
  <c r="GK135" i="7" s="1"/>
  <c r="HT135" i="7" s="1"/>
  <c r="EU136" i="7"/>
  <c r="GJ127" i="7"/>
  <c r="GK127" i="7" s="1"/>
  <c r="HT127" i="7" s="1"/>
  <c r="GJ111" i="7"/>
  <c r="GK111" i="7" s="1"/>
  <c r="HT111" i="7" s="1"/>
  <c r="GJ110" i="7"/>
  <c r="GK110" i="7" s="1"/>
  <c r="HT110" i="7" s="1"/>
  <c r="EU138" i="7"/>
  <c r="GC138" i="7" s="1"/>
  <c r="GJ136" i="7"/>
  <c r="GK136" i="7" s="1"/>
  <c r="HT136" i="7" s="1"/>
  <c r="GJ126" i="7"/>
  <c r="GK126" i="7" s="1"/>
  <c r="HT126" i="7" s="1"/>
  <c r="GJ129" i="7"/>
  <c r="GK129" i="7" s="1"/>
  <c r="HT129" i="7" s="1"/>
  <c r="EU140" i="7"/>
  <c r="FS140" i="7" s="1"/>
  <c r="GJ121" i="7"/>
  <c r="GK121" i="7" s="1"/>
  <c r="HT121" i="7" s="1"/>
  <c r="GJ134" i="7"/>
  <c r="GK134" i="7" s="1"/>
  <c r="HT134" i="7" s="1"/>
  <c r="GJ141" i="7"/>
  <c r="GK141" i="7" s="1"/>
  <c r="HT141" i="7" s="1"/>
  <c r="GJ124" i="7"/>
  <c r="GK124" i="7" s="1"/>
  <c r="HT124" i="7" s="1"/>
  <c r="EU110" i="7"/>
  <c r="EV110" i="7" s="1"/>
  <c r="EU119" i="7"/>
  <c r="GB119" i="7" s="1"/>
  <c r="HS119" i="7" s="1"/>
  <c r="GJ120" i="7"/>
  <c r="GK120" i="7" s="1"/>
  <c r="HT120" i="7" s="1"/>
  <c r="EU130" i="7"/>
  <c r="GB130" i="7" s="1"/>
  <c r="HS130" i="7" s="1"/>
  <c r="EU141" i="7"/>
  <c r="GH141" i="7" s="1"/>
  <c r="GJ133" i="7"/>
  <c r="GK133" i="7" s="1"/>
  <c r="HT133" i="7" s="1"/>
  <c r="EU114" i="7"/>
  <c r="FS114" i="7" s="1"/>
  <c r="GJ125" i="7"/>
  <c r="GK125" i="7" s="1"/>
  <c r="HT125" i="7" s="1"/>
  <c r="EU121" i="7"/>
  <c r="GH121" i="7" s="1"/>
  <c r="EU127" i="7"/>
  <c r="FT127" i="7" s="1"/>
  <c r="EU139" i="7"/>
  <c r="GH139" i="7" s="1"/>
  <c r="EU125" i="7"/>
  <c r="GH125" i="7" s="1"/>
  <c r="EU129" i="7"/>
  <c r="FT129" i="7" s="1"/>
  <c r="EU131" i="7"/>
  <c r="GH131" i="7" s="1"/>
  <c r="GJ119" i="7"/>
  <c r="GK119" i="7" s="1"/>
  <c r="HT119" i="7" s="1"/>
  <c r="EU128" i="7"/>
  <c r="FS128" i="7" s="1"/>
  <c r="GJ131" i="7"/>
  <c r="GK131" i="7" s="1"/>
  <c r="HT131" i="7" s="1"/>
  <c r="EU112" i="7"/>
  <c r="GC112" i="7" s="1"/>
  <c r="EU137" i="7"/>
  <c r="GH137" i="7" s="1"/>
  <c r="GJ113" i="7"/>
  <c r="GK113" i="7" s="1"/>
  <c r="HT113" i="7" s="1"/>
  <c r="EU111" i="7"/>
  <c r="GH111" i="7" s="1"/>
  <c r="EU133" i="7"/>
  <c r="GH133" i="7" s="1"/>
  <c r="EU122" i="7"/>
  <c r="FS122" i="7" s="1"/>
  <c r="EU135" i="7"/>
  <c r="FT135" i="7" s="1"/>
  <c r="EU132" i="7"/>
  <c r="GC132" i="7" s="1"/>
  <c r="GJ122" i="7"/>
  <c r="GK122" i="7" s="1"/>
  <c r="HT122" i="7" s="1"/>
  <c r="GJ139" i="7"/>
  <c r="GK139" i="7" s="1"/>
  <c r="HT139" i="7" s="1"/>
  <c r="GJ123" i="7"/>
  <c r="GK123" i="7" s="1"/>
  <c r="HT123" i="7" s="1"/>
  <c r="EU120" i="7"/>
  <c r="GB120" i="7" s="1"/>
  <c r="HS120" i="7" s="1"/>
  <c r="EU117" i="7"/>
  <c r="GH117" i="7" s="1"/>
  <c r="EU134" i="7"/>
  <c r="GC134" i="7" s="1"/>
  <c r="EU124" i="7"/>
  <c r="GH124" i="7" s="1"/>
  <c r="GJ115" i="7"/>
  <c r="GK115" i="7" s="1"/>
  <c r="HT115" i="7" s="1"/>
  <c r="EU123" i="7"/>
  <c r="EU116" i="7"/>
  <c r="EV116" i="7" s="1"/>
  <c r="GJ137" i="7"/>
  <c r="GK137" i="7" s="1"/>
  <c r="HT137" i="7" s="1"/>
  <c r="EU118" i="7"/>
  <c r="GC118" i="7" s="1"/>
  <c r="EU115" i="7"/>
  <c r="EV115" i="7" s="1"/>
  <c r="EU126" i="7"/>
  <c r="EV126" i="7" s="1"/>
  <c r="GJ128" i="7"/>
  <c r="GK128" i="7" s="1"/>
  <c r="HT128" i="7" s="1"/>
  <c r="EU113" i="7"/>
  <c r="EV113" i="7" s="1"/>
  <c r="GC115" i="7" l="1"/>
  <c r="FT114" i="7"/>
  <c r="GC114" i="7"/>
  <c r="GH118" i="7"/>
  <c r="GB113" i="7"/>
  <c r="HS113" i="7" s="1"/>
  <c r="GC119" i="7"/>
  <c r="GB126" i="7"/>
  <c r="HS126" i="7" s="1"/>
  <c r="GH135" i="7"/>
  <c r="GC127" i="7"/>
  <c r="GH130" i="7"/>
  <c r="FS110" i="7"/>
  <c r="GH115" i="7"/>
  <c r="GH113" i="7"/>
  <c r="EV123" i="7"/>
  <c r="GB123" i="7"/>
  <c r="HS123" i="7" s="1"/>
  <c r="GH132" i="7"/>
  <c r="EV132" i="7"/>
  <c r="GB132" i="7"/>
  <c r="HS132" i="7" s="1"/>
  <c r="FS132" i="7"/>
  <c r="FS111" i="7"/>
  <c r="GB111" i="7"/>
  <c r="HS111" i="7" s="1"/>
  <c r="EV111" i="7"/>
  <c r="FT133" i="7"/>
  <c r="FS139" i="7"/>
  <c r="FT139" i="7"/>
  <c r="GC139" i="7"/>
  <c r="EV139" i="7"/>
  <c r="GB139" i="7"/>
  <c r="HS139" i="7" s="1"/>
  <c r="GB121" i="7"/>
  <c r="HS121" i="7" s="1"/>
  <c r="EV121" i="7"/>
  <c r="GH112" i="7"/>
  <c r="GC135" i="7"/>
  <c r="FS127" i="7"/>
  <c r="FT137" i="7"/>
  <c r="FT117" i="7"/>
  <c r="GH126" i="7"/>
  <c r="FS116" i="7"/>
  <c r="GB134" i="7"/>
  <c r="HS134" i="7" s="1"/>
  <c r="FS134" i="7"/>
  <c r="EV134" i="7"/>
  <c r="FS120" i="7"/>
  <c r="GC131" i="7"/>
  <c r="GC125" i="7"/>
  <c r="EV125" i="7"/>
  <c r="FS117" i="7"/>
  <c r="GB116" i="7"/>
  <c r="HS116" i="7" s="1"/>
  <c r="GC123" i="7"/>
  <c r="FT111" i="7"/>
  <c r="FT128" i="7"/>
  <c r="FS125" i="7"/>
  <c r="FS123" i="7"/>
  <c r="GC121" i="7"/>
  <c r="GC126" i="7"/>
  <c r="EV112" i="7"/>
  <c r="GB133" i="7"/>
  <c r="HS133" i="7" s="1"/>
  <c r="EV133" i="7"/>
  <c r="FS133" i="7"/>
  <c r="GC133" i="7"/>
  <c r="FS131" i="7"/>
  <c r="EV131" i="7"/>
  <c r="GB131" i="7"/>
  <c r="HS131" i="7" s="1"/>
  <c r="FT116" i="7"/>
  <c r="GB125" i="7"/>
  <c r="HS125" i="7" s="1"/>
  <c r="FT131" i="7"/>
  <c r="GH134" i="7"/>
  <c r="FS121" i="7"/>
  <c r="EV122" i="7"/>
  <c r="FT122" i="7"/>
  <c r="GC111" i="7"/>
  <c r="FT119" i="7"/>
  <c r="EV119" i="7"/>
  <c r="GH119" i="7"/>
  <c r="FS126" i="7"/>
  <c r="FT115" i="7"/>
  <c r="GC122" i="7"/>
  <c r="FT134" i="7"/>
  <c r="FT120" i="7"/>
  <c r="EV136" i="7"/>
  <c r="FS136" i="7"/>
  <c r="GB136" i="7"/>
  <c r="HS136" i="7" s="1"/>
  <c r="GC136" i="7"/>
  <c r="GH136" i="7"/>
  <c r="FT136" i="7"/>
  <c r="GC117" i="7"/>
  <c r="FT110" i="7"/>
  <c r="GC113" i="7"/>
  <c r="GB137" i="7"/>
  <c r="HS137" i="7" s="1"/>
  <c r="EV137" i="7"/>
  <c r="FS137" i="7"/>
  <c r="GB128" i="7"/>
  <c r="HS128" i="7" s="1"/>
  <c r="GH122" i="7"/>
  <c r="GB115" i="7"/>
  <c r="HS115" i="7" s="1"/>
  <c r="GB127" i="7"/>
  <c r="HS127" i="7" s="1"/>
  <c r="EV127" i="7"/>
  <c r="GH127" i="7"/>
  <c r="FS141" i="7"/>
  <c r="GB141" i="7"/>
  <c r="HS141" i="7" s="1"/>
  <c r="EV141" i="7"/>
  <c r="FS119" i="7"/>
  <c r="FS115" i="7"/>
  <c r="FT141" i="7"/>
  <c r="EV128" i="7"/>
  <c r="GC128" i="7"/>
  <c r="GH129" i="7"/>
  <c r="GC129" i="7"/>
  <c r="EV129" i="7"/>
  <c r="GB129" i="7"/>
  <c r="HS129" i="7" s="1"/>
  <c r="FS129" i="7"/>
  <c r="GC116" i="7"/>
  <c r="GH110" i="7"/>
  <c r="EV140" i="7"/>
  <c r="GC140" i="7"/>
  <c r="FT140" i="7"/>
  <c r="GH140" i="7"/>
  <c r="GH128" i="7"/>
  <c r="GC120" i="7"/>
  <c r="EV120" i="7"/>
  <c r="FT126" i="7"/>
  <c r="GB118" i="7"/>
  <c r="HS118" i="7" s="1"/>
  <c r="EV118" i="7"/>
  <c r="EV124" i="7"/>
  <c r="FT124" i="7"/>
  <c r="GB124" i="7"/>
  <c r="HS124" i="7" s="1"/>
  <c r="EV135" i="7"/>
  <c r="FS135" i="7"/>
  <c r="GB112" i="7"/>
  <c r="HS112" i="7" s="1"/>
  <c r="GH120" i="7"/>
  <c r="GH114" i="7"/>
  <c r="EV114" i="7"/>
  <c r="GB114" i="7"/>
  <c r="HS114" i="7" s="1"/>
  <c r="EV130" i="7"/>
  <c r="FT130" i="7"/>
  <c r="GC130" i="7"/>
  <c r="FT112" i="7"/>
  <c r="FS112" i="7"/>
  <c r="GH116" i="7"/>
  <c r="FT138" i="7"/>
  <c r="GC124" i="7"/>
  <c r="FS124" i="7"/>
  <c r="GC110" i="7"/>
  <c r="GH123" i="7"/>
  <c r="GB117" i="7"/>
  <c r="HS117" i="7" s="1"/>
  <c r="EV117" i="7"/>
  <c r="FT132" i="7"/>
  <c r="FS113" i="7"/>
  <c r="FT123" i="7"/>
  <c r="FT118" i="7"/>
  <c r="FT121" i="7"/>
  <c r="FT113" i="7"/>
  <c r="FS130" i="7"/>
  <c r="FS118" i="7"/>
  <c r="GB140" i="7"/>
  <c r="HS140" i="7" s="1"/>
  <c r="FS138" i="7"/>
  <c r="GH138" i="7"/>
  <c r="GB138" i="7"/>
  <c r="HS138" i="7" s="1"/>
  <c r="EV138" i="7"/>
  <c r="GB122" i="7"/>
  <c r="HS122" i="7" s="1"/>
  <c r="FT125" i="7"/>
  <c r="GB135" i="7"/>
  <c r="HS135" i="7" s="1"/>
  <c r="GC141" i="7"/>
  <c r="GB110" i="7"/>
  <c r="HS110" i="7" s="1"/>
  <c r="GC137" i="7"/>
  <c r="GI119" i="7" l="1"/>
  <c r="HX119" i="7" s="1"/>
  <c r="GI111" i="7"/>
  <c r="HX111" i="7" s="1"/>
  <c r="GI118" i="7"/>
  <c r="HX118" i="7" s="1"/>
  <c r="GI141" i="7"/>
  <c r="HX141" i="7" s="1"/>
  <c r="GI137" i="7"/>
  <c r="HX137" i="7" s="1"/>
  <c r="GI112" i="7"/>
  <c r="HX112" i="7" s="1"/>
  <c r="GI133" i="7"/>
  <c r="HX133" i="7" s="1"/>
  <c r="GI117" i="7"/>
  <c r="HX117" i="7" s="1"/>
  <c r="GI140" i="7"/>
  <c r="HX140" i="7" s="1"/>
  <c r="GI132" i="7"/>
  <c r="HX132" i="7" s="1"/>
  <c r="GI124" i="7"/>
  <c r="HX124" i="7" s="1"/>
  <c r="GI138" i="7"/>
  <c r="HX138" i="7" s="1"/>
  <c r="GI130" i="7"/>
  <c r="HX130" i="7" s="1"/>
  <c r="GI134" i="7"/>
  <c r="HX134" i="7" s="1"/>
  <c r="GI126" i="7"/>
  <c r="HX126" i="7" s="1"/>
  <c r="GI128" i="7"/>
  <c r="HX128" i="7" s="1"/>
  <c r="GI136" i="7"/>
  <c r="HX136" i="7" s="1"/>
  <c r="GI121" i="7"/>
  <c r="HX121" i="7" s="1"/>
  <c r="GI125" i="7"/>
  <c r="HX125" i="7" s="1"/>
  <c r="GI131" i="7"/>
  <c r="HX131" i="7" s="1"/>
  <c r="GI135" i="7"/>
  <c r="HX135" i="7" s="1"/>
  <c r="GI110" i="7"/>
  <c r="HX110" i="7" s="1"/>
  <c r="GI120" i="7"/>
  <c r="HX120" i="7" s="1"/>
  <c r="GI116" i="7"/>
  <c r="HX116" i="7" s="1"/>
  <c r="GI123" i="7"/>
  <c r="HX123" i="7" s="1"/>
  <c r="GI139" i="7"/>
  <c r="HX139" i="7" s="1"/>
  <c r="GI115" i="7"/>
  <c r="HX115" i="7" s="1"/>
  <c r="GI114" i="7"/>
  <c r="HX114" i="7" s="1"/>
  <c r="GI129" i="7"/>
  <c r="HX129" i="7" s="1"/>
  <c r="GI113" i="7"/>
  <c r="HX113" i="7" s="1"/>
  <c r="GI122" i="7"/>
  <c r="HX122" i="7" s="1"/>
  <c r="GI127" i="7"/>
  <c r="HX127" i="7" s="1"/>
  <c r="EZ106" i="7" l="1"/>
  <c r="FQ106" i="7" s="1"/>
  <c r="GJ156" i="7"/>
  <c r="GK156" i="7" s="1"/>
  <c r="HT156" i="7" s="1"/>
  <c r="GJ142" i="7"/>
  <c r="GK142" i="7" s="1"/>
  <c r="HT142" i="7" s="1"/>
  <c r="GJ145" i="7"/>
  <c r="GK145" i="7" s="1"/>
  <c r="HT145" i="7" s="1"/>
  <c r="GJ144" i="7"/>
  <c r="GK144" i="7" s="1"/>
  <c r="HT144" i="7" s="1"/>
  <c r="GJ151" i="7"/>
  <c r="GK151" i="7" s="1"/>
  <c r="HT151" i="7" s="1"/>
  <c r="GJ154" i="7"/>
  <c r="GK154" i="7" s="1"/>
  <c r="HT154" i="7" s="1"/>
  <c r="GJ153" i="7"/>
  <c r="GK153" i="7" s="1"/>
  <c r="HT153" i="7" s="1"/>
  <c r="GJ155" i="7"/>
  <c r="GK155" i="7" s="1"/>
  <c r="HT155" i="7" s="1"/>
  <c r="GJ148" i="7"/>
  <c r="GK148" i="7" s="1"/>
  <c r="HT148" i="7" s="1"/>
  <c r="GJ147" i="7"/>
  <c r="GK147" i="7" s="1"/>
  <c r="HT147" i="7" s="1"/>
  <c r="GJ152" i="7"/>
  <c r="GK152" i="7" s="1"/>
  <c r="HT152" i="7" s="1"/>
  <c r="GJ146" i="7"/>
  <c r="GK146" i="7" s="1"/>
  <c r="HT146" i="7" s="1"/>
  <c r="EU149" i="7"/>
  <c r="GB149" i="7" s="1"/>
  <c r="HS149" i="7" s="1"/>
  <c r="GJ150" i="7"/>
  <c r="GK150" i="7" s="1"/>
  <c r="HT150" i="7" s="1"/>
  <c r="EU156" i="7"/>
  <c r="FT156" i="7" s="1"/>
  <c r="GJ149" i="7"/>
  <c r="GK149" i="7" s="1"/>
  <c r="HT149" i="7" s="1"/>
  <c r="GJ143" i="7"/>
  <c r="GK143" i="7" s="1"/>
  <c r="HT143" i="7" s="1"/>
  <c r="EU148" i="7"/>
  <c r="GB148" i="7" s="1"/>
  <c r="HS148" i="7" s="1"/>
  <c r="EU146" i="7"/>
  <c r="FT146" i="7" s="1"/>
  <c r="EU150" i="7"/>
  <c r="GH150" i="7" s="1"/>
  <c r="EU155" i="7"/>
  <c r="EV155" i="7" s="1"/>
  <c r="EU144" i="7"/>
  <c r="FS144" i="7" s="1"/>
  <c r="EU151" i="7"/>
  <c r="GC151" i="7" s="1"/>
  <c r="EU143" i="7"/>
  <c r="EV143" i="7" s="1"/>
  <c r="EU153" i="7"/>
  <c r="FT153" i="7" s="1"/>
  <c r="EU154" i="7"/>
  <c r="EV154" i="7" s="1"/>
  <c r="EU147" i="7"/>
  <c r="GC147" i="7" s="1"/>
  <c r="EU152" i="7"/>
  <c r="GC152" i="7" s="1"/>
  <c r="EU142" i="7"/>
  <c r="FT142" i="7" s="1"/>
  <c r="EU145" i="7"/>
  <c r="FT145" i="7" s="1"/>
  <c r="HY106" i="7" l="1"/>
  <c r="GH145" i="7"/>
  <c r="GC149" i="7"/>
  <c r="GB146" i="7"/>
  <c r="HS146" i="7" s="1"/>
  <c r="GB147" i="7"/>
  <c r="HS147" i="7" s="1"/>
  <c r="GH152" i="7"/>
  <c r="GB152" i="7"/>
  <c r="HS152" i="7" s="1"/>
  <c r="GC142" i="7"/>
  <c r="FT152" i="7"/>
  <c r="EV150" i="7"/>
  <c r="FT144" i="7"/>
  <c r="EV156" i="7"/>
  <c r="GC156" i="7"/>
  <c r="GC145" i="7"/>
  <c r="GB153" i="7"/>
  <c r="HS153" i="7" s="1"/>
  <c r="EV145" i="7"/>
  <c r="FS150" i="7"/>
  <c r="FS147" i="7"/>
  <c r="FS152" i="7"/>
  <c r="GB143" i="7"/>
  <c r="HS143" i="7" s="1"/>
  <c r="FS153" i="7"/>
  <c r="GH144" i="7"/>
  <c r="GH143" i="7"/>
  <c r="GH151" i="7"/>
  <c r="GB154" i="7"/>
  <c r="HS154" i="7" s="1"/>
  <c r="FT143" i="7"/>
  <c r="GB156" i="7"/>
  <c r="HS156" i="7" s="1"/>
  <c r="EV152" i="7"/>
  <c r="GC144" i="7"/>
  <c r="EV149" i="7"/>
  <c r="GH147" i="7"/>
  <c r="GH146" i="7"/>
  <c r="FS151" i="7"/>
  <c r="FT155" i="7"/>
  <c r="GC143" i="7"/>
  <c r="FS156" i="7"/>
  <c r="GC150" i="7"/>
  <c r="FS149" i="7"/>
  <c r="GC153" i="7"/>
  <c r="GB151" i="7"/>
  <c r="HS151" i="7" s="1"/>
  <c r="FS143" i="7"/>
  <c r="GC155" i="7"/>
  <c r="GH156" i="7"/>
  <c r="FT150" i="7"/>
  <c r="FS145" i="7"/>
  <c r="FS154" i="7"/>
  <c r="GB145" i="7"/>
  <c r="HS145" i="7" s="1"/>
  <c r="EV142" i="7"/>
  <c r="EV148" i="7"/>
  <c r="FT154" i="7"/>
  <c r="FS146" i="7"/>
  <c r="GB144" i="7"/>
  <c r="HS144" i="7" s="1"/>
  <c r="GH148" i="7"/>
  <c r="FT147" i="7"/>
  <c r="EV153" i="7"/>
  <c r="EV146" i="7"/>
  <c r="GB142" i="7"/>
  <c r="HS142" i="7" s="1"/>
  <c r="GC148" i="7"/>
  <c r="GB150" i="7"/>
  <c r="HS150" i="7" s="1"/>
  <c r="FT149" i="7"/>
  <c r="FS142" i="7"/>
  <c r="GB155" i="7"/>
  <c r="HS155" i="7" s="1"/>
  <c r="EV147" i="7"/>
  <c r="GH142" i="7"/>
  <c r="GH153" i="7"/>
  <c r="FT151" i="7"/>
  <c r="GH155" i="7"/>
  <c r="FS148" i="7"/>
  <c r="FS155" i="7"/>
  <c r="GH149" i="7"/>
  <c r="GC146" i="7"/>
  <c r="EV144" i="7"/>
  <c r="EV151" i="7"/>
  <c r="GC154" i="7"/>
  <c r="FT148" i="7"/>
  <c r="GH154" i="7"/>
  <c r="GI152" i="7" l="1"/>
  <c r="HX152" i="7" s="1"/>
  <c r="GI145" i="7"/>
  <c r="HX145" i="7" s="1"/>
  <c r="GI156" i="7"/>
  <c r="HX156" i="7" s="1"/>
  <c r="GI146" i="7"/>
  <c r="HX146" i="7" s="1"/>
  <c r="GI149" i="7"/>
  <c r="HX149" i="7" s="1"/>
  <c r="GI150" i="7"/>
  <c r="HX150" i="7" s="1"/>
  <c r="GI153" i="7"/>
  <c r="HX153" i="7" s="1"/>
  <c r="GI151" i="7"/>
  <c r="HX151" i="7" s="1"/>
  <c r="GI144" i="7"/>
  <c r="HX144" i="7" s="1"/>
  <c r="GI147" i="7"/>
  <c r="HX147" i="7" s="1"/>
  <c r="GI154" i="7"/>
  <c r="HX154" i="7" s="1"/>
  <c r="GI143" i="7"/>
  <c r="HX143" i="7" s="1"/>
  <c r="GI142" i="7"/>
  <c r="HX142" i="7" s="1"/>
  <c r="GI148" i="7"/>
  <c r="HX148" i="7" s="1"/>
  <c r="GI155" i="7"/>
  <c r="HX155" i="7" s="1"/>
  <c r="B47" i="8" l="1"/>
  <c r="AJ101" i="7" s="1"/>
  <c r="AK101" i="7" s="1"/>
  <c r="AL101" i="7" s="1"/>
  <c r="AM101" i="7" s="1"/>
  <c r="AN101" i="7" l="1"/>
  <c r="BB101" i="7"/>
  <c r="CK101" i="7" l="1"/>
  <c r="BD101" i="7"/>
  <c r="BH101" i="7" s="1"/>
  <c r="BC101" i="7" l="1"/>
  <c r="FU101" i="7" s="1"/>
  <c r="FV101" i="7" s="1"/>
  <c r="BZ101" i="7"/>
  <c r="BJ101" i="7"/>
  <c r="BI101" i="7"/>
  <c r="AJ135" i="7"/>
  <c r="AK135" i="7" s="1"/>
  <c r="AL135" i="7" s="1"/>
  <c r="AM135" i="7" s="1"/>
  <c r="AJ133" i="7"/>
  <c r="AK133" i="7" s="1"/>
  <c r="AL133" i="7" s="1"/>
  <c r="AM133" i="7" s="1"/>
  <c r="AJ134" i="7"/>
  <c r="AK134" i="7" s="1"/>
  <c r="AL134" i="7" s="1"/>
  <c r="AM134" i="7" s="1"/>
  <c r="AJ132" i="7"/>
  <c r="AK132" i="7" s="1"/>
  <c r="AL132" i="7" s="1"/>
  <c r="AM132" i="7" s="1"/>
  <c r="AJ136" i="7"/>
  <c r="AK136" i="7" s="1"/>
  <c r="AL136" i="7" s="1"/>
  <c r="AM136" i="7" s="1"/>
  <c r="AJ113" i="7"/>
  <c r="AK113" i="7" s="1"/>
  <c r="AL113" i="7" s="1"/>
  <c r="AM113" i="7" s="1"/>
  <c r="AN113" i="7" s="1"/>
  <c r="AN133" i="7" l="1"/>
  <c r="BB133" i="7"/>
  <c r="AN136" i="7"/>
  <c r="BB136" i="7"/>
  <c r="AN135" i="7"/>
  <c r="BB135" i="7"/>
  <c r="AN134" i="7"/>
  <c r="BB134" i="7"/>
  <c r="AN132" i="7"/>
  <c r="BB132" i="7"/>
  <c r="BB113" i="7"/>
  <c r="CA101" i="7"/>
  <c r="BK101" i="7"/>
  <c r="BL101" i="7" s="1"/>
  <c r="HR101" i="7"/>
  <c r="GD101" i="7"/>
  <c r="GE101" i="7" s="1"/>
  <c r="AJ121" i="7"/>
  <c r="AK121" i="7" s="1"/>
  <c r="AL121" i="7" s="1"/>
  <c r="AM121" i="7" s="1"/>
  <c r="AN121" i="7" l="1"/>
  <c r="BB121" i="7"/>
  <c r="GG101" i="7"/>
  <c r="GF101" i="7"/>
  <c r="CK136" i="7"/>
  <c r="BD136" i="7"/>
  <c r="BH136" i="7" s="1"/>
  <c r="BM101" i="7"/>
  <c r="CK113" i="7"/>
  <c r="BD113" i="7"/>
  <c r="BH113" i="7" s="1"/>
  <c r="CK134" i="7"/>
  <c r="BD134" i="7"/>
  <c r="BH134" i="7" s="1"/>
  <c r="CK132" i="7"/>
  <c r="BD132" i="7"/>
  <c r="BH132" i="7" s="1"/>
  <c r="CK133" i="7"/>
  <c r="BD133" i="7"/>
  <c r="BH133" i="7" s="1"/>
  <c r="CK135" i="7"/>
  <c r="BD135" i="7"/>
  <c r="BH135" i="7" s="1"/>
  <c r="AJ130" i="7"/>
  <c r="AK130" i="7" s="1"/>
  <c r="AL130" i="7" s="1"/>
  <c r="AM130" i="7" s="1"/>
  <c r="BC132" i="7" l="1"/>
  <c r="FU132" i="7" s="1"/>
  <c r="FV132" i="7" s="1"/>
  <c r="GD132" i="7" s="1"/>
  <c r="GE132" i="7" s="1"/>
  <c r="BC113" i="7"/>
  <c r="FU113" i="7" s="1"/>
  <c r="FV113" i="7" s="1"/>
  <c r="HR113" i="7" s="1"/>
  <c r="AN130" i="7"/>
  <c r="BB130" i="7"/>
  <c r="BJ134" i="7"/>
  <c r="BZ134" i="7"/>
  <c r="BI134" i="7"/>
  <c r="BJ136" i="7"/>
  <c r="BZ136" i="7"/>
  <c r="BI136" i="7"/>
  <c r="BC134" i="7"/>
  <c r="FU134" i="7" s="1"/>
  <c r="FV134" i="7" s="1"/>
  <c r="BC136" i="7"/>
  <c r="FU136" i="7" s="1"/>
  <c r="FV136" i="7" s="1"/>
  <c r="BZ133" i="7"/>
  <c r="BJ133" i="7"/>
  <c r="BI133" i="7"/>
  <c r="BJ113" i="7"/>
  <c r="BZ113" i="7"/>
  <c r="BI113" i="7"/>
  <c r="GM101" i="7"/>
  <c r="BC133" i="7"/>
  <c r="FU133" i="7" s="1"/>
  <c r="FV133" i="7" s="1"/>
  <c r="HQ101" i="7"/>
  <c r="BJ132" i="7"/>
  <c r="BZ132" i="7"/>
  <c r="BI132" i="7"/>
  <c r="CK121" i="7"/>
  <c r="BD121" i="7"/>
  <c r="BH121" i="7" s="1"/>
  <c r="BJ135" i="7"/>
  <c r="BZ135" i="7"/>
  <c r="BI135" i="7"/>
  <c r="BC135" i="7"/>
  <c r="FU135" i="7" s="1"/>
  <c r="FV135" i="7" s="1"/>
  <c r="HR132" i="7" l="1"/>
  <c r="GD113" i="7"/>
  <c r="GE113" i="7" s="1"/>
  <c r="GF113" i="7" s="1"/>
  <c r="GF132" i="7"/>
  <c r="GG132" i="7"/>
  <c r="BC121" i="7"/>
  <c r="FU121" i="7" s="1"/>
  <c r="FV121" i="7" s="1"/>
  <c r="HR133" i="7"/>
  <c r="GD133" i="7"/>
  <c r="GE133" i="7" s="1"/>
  <c r="CA133" i="7"/>
  <c r="BK133" i="7"/>
  <c r="BL133" i="7" s="1"/>
  <c r="CA132" i="7"/>
  <c r="BK132" i="7"/>
  <c r="BL132" i="7" s="1"/>
  <c r="CA113" i="7"/>
  <c r="BK113" i="7"/>
  <c r="BL113" i="7" s="1"/>
  <c r="HU101" i="7"/>
  <c r="GO101" i="7"/>
  <c r="CA136" i="7"/>
  <c r="BK136" i="7"/>
  <c r="BL136" i="7" s="1"/>
  <c r="CA134" i="7"/>
  <c r="BK134" i="7"/>
  <c r="BL134" i="7" s="1"/>
  <c r="HR135" i="7"/>
  <c r="GD135" i="7"/>
  <c r="GE135" i="7" s="1"/>
  <c r="CA135" i="7"/>
  <c r="BK135" i="7"/>
  <c r="BL135" i="7" s="1"/>
  <c r="HR136" i="7"/>
  <c r="GD136" i="7"/>
  <c r="GE136" i="7" s="1"/>
  <c r="CK130" i="7"/>
  <c r="BD130" i="7"/>
  <c r="BH130" i="7" s="1"/>
  <c r="BJ121" i="7"/>
  <c r="BZ121" i="7"/>
  <c r="BI121" i="7"/>
  <c r="GV101" i="7"/>
  <c r="HE101" i="7" s="1"/>
  <c r="HR134" i="7"/>
  <c r="GD134" i="7"/>
  <c r="GE134" i="7" s="1"/>
  <c r="AJ126" i="7"/>
  <c r="AK126" i="7" s="1"/>
  <c r="AL126" i="7" s="1"/>
  <c r="AM126" i="7" s="1"/>
  <c r="GG113" i="7" l="1"/>
  <c r="GM113" i="7" s="1"/>
  <c r="GO113" i="7" s="1"/>
  <c r="GM132" i="7"/>
  <c r="HU132" i="7" s="1"/>
  <c r="AN126" i="7"/>
  <c r="BB126" i="7"/>
  <c r="BM134" i="7"/>
  <c r="BM132" i="7"/>
  <c r="GG135" i="7"/>
  <c r="GF135" i="7"/>
  <c r="BM113" i="7"/>
  <c r="HR121" i="7"/>
  <c r="GD121" i="7"/>
  <c r="GE121" i="7" s="1"/>
  <c r="GG136" i="7"/>
  <c r="GF136" i="7"/>
  <c r="GF134" i="7"/>
  <c r="GG134" i="7"/>
  <c r="BM135" i="7"/>
  <c r="BM133" i="7"/>
  <c r="BC130" i="7"/>
  <c r="FU130" i="7" s="1"/>
  <c r="FV130" i="7" s="1"/>
  <c r="HQ132" i="7"/>
  <c r="CA121" i="7"/>
  <c r="BK121" i="7"/>
  <c r="BL121" i="7" s="1"/>
  <c r="BM136" i="7"/>
  <c r="BZ130" i="7"/>
  <c r="BJ130" i="7"/>
  <c r="BI130" i="7"/>
  <c r="GX101" i="7"/>
  <c r="GY101" i="7" s="1"/>
  <c r="HV101" i="7"/>
  <c r="HZ101" i="7" s="1"/>
  <c r="GG133" i="7"/>
  <c r="GF133" i="7"/>
  <c r="GS101" i="7"/>
  <c r="AJ129" i="7"/>
  <c r="AK129" i="7" s="1"/>
  <c r="AL129" i="7" s="1"/>
  <c r="AM129" i="7" s="1"/>
  <c r="HQ113" i="7" l="1"/>
  <c r="HU113" i="7"/>
  <c r="GV113" i="7"/>
  <c r="HE113" i="7" s="1"/>
  <c r="GM135" i="7"/>
  <c r="HU135" i="7" s="1"/>
  <c r="GV132" i="7"/>
  <c r="HE132" i="7" s="1"/>
  <c r="GO132" i="7"/>
  <c r="GS132" i="7" s="1"/>
  <c r="GU132" i="7" s="1"/>
  <c r="HF132" i="7" s="1"/>
  <c r="GM134" i="7"/>
  <c r="GO134" i="7" s="1"/>
  <c r="GS134" i="7" s="1"/>
  <c r="IE101" i="7"/>
  <c r="IA101" i="7"/>
  <c r="IF101" i="7" s="1"/>
  <c r="AN129" i="7"/>
  <c r="BB129" i="7"/>
  <c r="HQ133" i="7"/>
  <c r="HQ134" i="7"/>
  <c r="GW101" i="7"/>
  <c r="GU101" i="7"/>
  <c r="HF101" i="7" s="1"/>
  <c r="HQ136" i="7"/>
  <c r="GD130" i="7"/>
  <c r="GE130" i="7" s="1"/>
  <c r="HR130" i="7"/>
  <c r="GM136" i="7"/>
  <c r="GV136" i="7" s="1"/>
  <c r="HE136" i="7" s="1"/>
  <c r="HV113" i="7"/>
  <c r="GX113" i="7"/>
  <c r="GY113" i="7" s="1"/>
  <c r="GG121" i="7"/>
  <c r="GF121" i="7"/>
  <c r="GM133" i="7"/>
  <c r="GS113" i="7"/>
  <c r="CK126" i="7"/>
  <c r="BD126" i="7"/>
  <c r="BH126" i="7" s="1"/>
  <c r="CA130" i="7"/>
  <c r="BK130" i="7"/>
  <c r="BL130" i="7" s="1"/>
  <c r="BM121" i="7"/>
  <c r="HQ135" i="7"/>
  <c r="AJ119" i="7"/>
  <c r="AK119" i="7" s="1"/>
  <c r="AL119" i="7" s="1"/>
  <c r="AM119" i="7" s="1"/>
  <c r="HZ113" i="7" l="1"/>
  <c r="IE113" i="7" s="1"/>
  <c r="GV135" i="7"/>
  <c r="HE135" i="7" s="1"/>
  <c r="GO135" i="7"/>
  <c r="GS135" i="7" s="1"/>
  <c r="GU135" i="7" s="1"/>
  <c r="HF135" i="7" s="1"/>
  <c r="HU134" i="7"/>
  <c r="GV134" i="7"/>
  <c r="HE134" i="7" s="1"/>
  <c r="GX132" i="7"/>
  <c r="GY132" i="7" s="1"/>
  <c r="HV132" i="7"/>
  <c r="HZ132" i="7" s="1"/>
  <c r="IA132" i="7" s="1"/>
  <c r="IF132" i="7" s="1"/>
  <c r="GW132" i="7"/>
  <c r="BC126" i="7"/>
  <c r="FU126" i="7" s="1"/>
  <c r="FV126" i="7" s="1"/>
  <c r="GD126" i="7" s="1"/>
  <c r="GE126" i="7" s="1"/>
  <c r="AN119" i="7"/>
  <c r="BB119" i="7"/>
  <c r="HU133" i="7"/>
  <c r="GO133" i="7"/>
  <c r="GF130" i="7"/>
  <c r="GG130" i="7"/>
  <c r="GW134" i="7"/>
  <c r="GU134" i="7"/>
  <c r="HF134" i="7" s="1"/>
  <c r="BM130" i="7"/>
  <c r="BZ126" i="7"/>
  <c r="BJ126" i="7"/>
  <c r="BI126" i="7"/>
  <c r="GM121" i="7"/>
  <c r="GV121" i="7" s="1"/>
  <c r="HE121" i="7" s="1"/>
  <c r="HQ121" i="7"/>
  <c r="CK129" i="7"/>
  <c r="BD129" i="7"/>
  <c r="BH129" i="7" s="1"/>
  <c r="GZ101" i="7"/>
  <c r="HB101" i="7" s="1"/>
  <c r="HG101" i="7" s="1"/>
  <c r="HV134" i="7"/>
  <c r="GX134" i="7"/>
  <c r="GY134" i="7" s="1"/>
  <c r="HU136" i="7"/>
  <c r="GO136" i="7"/>
  <c r="GV133" i="7"/>
  <c r="HE133" i="7" s="1"/>
  <c r="GW113" i="7"/>
  <c r="GZ113" i="7" s="1"/>
  <c r="HB113" i="7" s="1"/>
  <c r="HG113" i="7" s="1"/>
  <c r="GU113" i="7"/>
  <c r="HF113" i="7" s="1"/>
  <c r="AJ114" i="7"/>
  <c r="AK114" i="7" s="1"/>
  <c r="AL114" i="7" s="1"/>
  <c r="AM114" i="7" s="1"/>
  <c r="GW135" i="7" l="1"/>
  <c r="IA113" i="7"/>
  <c r="IF113" i="7" s="1"/>
  <c r="GX135" i="7"/>
  <c r="HR126" i="7"/>
  <c r="HV135" i="7"/>
  <c r="HZ135" i="7" s="1"/>
  <c r="IE135" i="7" s="1"/>
  <c r="HZ134" i="7"/>
  <c r="IE134" i="7" s="1"/>
  <c r="BC129" i="7"/>
  <c r="FU129" i="7" s="1"/>
  <c r="FV129" i="7" s="1"/>
  <c r="HR129" i="7" s="1"/>
  <c r="GZ132" i="7"/>
  <c r="HA132" i="7" s="1"/>
  <c r="HC132" i="7" s="1"/>
  <c r="HD132" i="7" s="1"/>
  <c r="IE132" i="7"/>
  <c r="AN114" i="7"/>
  <c r="BB114" i="7"/>
  <c r="CK114" i="7" s="1"/>
  <c r="BZ129" i="7"/>
  <c r="BJ129" i="7"/>
  <c r="BI129" i="7"/>
  <c r="CK119" i="7"/>
  <c r="BD119" i="7"/>
  <c r="BH119" i="7" s="1"/>
  <c r="GZ134" i="7"/>
  <c r="HB134" i="7" s="1"/>
  <c r="HG134" i="7" s="1"/>
  <c r="HV136" i="7"/>
  <c r="HZ136" i="7" s="1"/>
  <c r="GX136" i="7"/>
  <c r="GS136" i="7"/>
  <c r="HV133" i="7"/>
  <c r="HZ133" i="7" s="1"/>
  <c r="GX133" i="7"/>
  <c r="GY133" i="7" s="1"/>
  <c r="GF126" i="7"/>
  <c r="GG126" i="7"/>
  <c r="HH135" i="7"/>
  <c r="GS133" i="7"/>
  <c r="HU121" i="7"/>
  <c r="GO121" i="7"/>
  <c r="GM130" i="7"/>
  <c r="GV130" i="7" s="1"/>
  <c r="HE130" i="7" s="1"/>
  <c r="HA113" i="7"/>
  <c r="HC113" i="7" s="1"/>
  <c r="HD113" i="7" s="1"/>
  <c r="IA135" i="7"/>
  <c r="IF135" i="7" s="1"/>
  <c r="HA101" i="7"/>
  <c r="HC101" i="7" s="1"/>
  <c r="HD101" i="7" s="1"/>
  <c r="CA126" i="7"/>
  <c r="BK126" i="7"/>
  <c r="BL126" i="7" s="1"/>
  <c r="HQ130" i="7"/>
  <c r="AJ123" i="7"/>
  <c r="AK123" i="7" s="1"/>
  <c r="AL123" i="7" s="1"/>
  <c r="AM123" i="7" s="1"/>
  <c r="GZ135" i="7" l="1"/>
  <c r="HB135" i="7" s="1"/>
  <c r="HG135" i="7" s="1"/>
  <c r="HI135" i="7" s="1"/>
  <c r="GY135" i="7"/>
  <c r="GD129" i="7"/>
  <c r="GE129" i="7" s="1"/>
  <c r="GG129" i="7" s="1"/>
  <c r="BD114" i="7"/>
  <c r="BH114" i="7" s="1"/>
  <c r="BZ114" i="7" s="1"/>
  <c r="IA134" i="7"/>
  <c r="IF134" i="7" s="1"/>
  <c r="HB132" i="7"/>
  <c r="HG132" i="7" s="1"/>
  <c r="HA135" i="7"/>
  <c r="HC135" i="7" s="1"/>
  <c r="HD135" i="7" s="1"/>
  <c r="GM126" i="7"/>
  <c r="GO126" i="7" s="1"/>
  <c r="BC119" i="7"/>
  <c r="FU119" i="7" s="1"/>
  <c r="FV119" i="7" s="1"/>
  <c r="GD119" i="7" s="1"/>
  <c r="GE119" i="7" s="1"/>
  <c r="AN123" i="7"/>
  <c r="BB123" i="7"/>
  <c r="HA134" i="7"/>
  <c r="HC134" i="7" s="1"/>
  <c r="HD134" i="7" s="1"/>
  <c r="CA129" i="7"/>
  <c r="BK129" i="7"/>
  <c r="BL129" i="7" s="1"/>
  <c r="BJ114" i="7"/>
  <c r="BI114" i="7"/>
  <c r="BM126" i="7"/>
  <c r="HU130" i="7"/>
  <c r="GO130" i="7"/>
  <c r="HQ126" i="7"/>
  <c r="GX121" i="7"/>
  <c r="GY121" i="7" s="1"/>
  <c r="HV121" i="7"/>
  <c r="HZ121" i="7" s="1"/>
  <c r="GS121" i="7"/>
  <c r="GU136" i="7"/>
  <c r="HF136" i="7" s="1"/>
  <c r="GW136" i="7"/>
  <c r="IE133" i="7"/>
  <c r="IA133" i="7"/>
  <c r="IF133" i="7" s="1"/>
  <c r="GF129" i="7"/>
  <c r="IE136" i="7"/>
  <c r="IA136" i="7"/>
  <c r="IF136" i="7" s="1"/>
  <c r="GY136" i="7"/>
  <c r="BC114" i="7"/>
  <c r="FU114" i="7" s="1"/>
  <c r="FV114" i="7" s="1"/>
  <c r="GU133" i="7"/>
  <c r="HF133" i="7" s="1"/>
  <c r="GW133" i="7"/>
  <c r="GZ133" i="7" s="1"/>
  <c r="HB133" i="7" s="1"/>
  <c r="HG133" i="7" s="1"/>
  <c r="BZ119" i="7"/>
  <c r="BJ119" i="7"/>
  <c r="BI119" i="7"/>
  <c r="AJ127" i="7"/>
  <c r="AK127" i="7" s="1"/>
  <c r="AL127" i="7" s="1"/>
  <c r="AM127" i="7" s="1"/>
  <c r="HR119" i="7" l="1"/>
  <c r="GM129" i="7"/>
  <c r="GO129" i="7" s="1"/>
  <c r="GS129" i="7" s="1"/>
  <c r="GV126" i="7"/>
  <c r="HE126" i="7" s="1"/>
  <c r="HU126" i="7"/>
  <c r="HJ135" i="7"/>
  <c r="AN127" i="7"/>
  <c r="BB127" i="7"/>
  <c r="BD127" i="7" s="1"/>
  <c r="IA121" i="7"/>
  <c r="IF121" i="7" s="1"/>
  <c r="IE121" i="7"/>
  <c r="HI133" i="7"/>
  <c r="HI134" i="7"/>
  <c r="BM129" i="7"/>
  <c r="HR114" i="7"/>
  <c r="GD114" i="7"/>
  <c r="GE114" i="7" s="1"/>
  <c r="HH136" i="7"/>
  <c r="HV126" i="7"/>
  <c r="GX126" i="7"/>
  <c r="GY126" i="7" s="1"/>
  <c r="CK123" i="7"/>
  <c r="BD123" i="7"/>
  <c r="BH123" i="7" s="1"/>
  <c r="GG119" i="7"/>
  <c r="GF119" i="7"/>
  <c r="HA133" i="7"/>
  <c r="HC133" i="7" s="1"/>
  <c r="HD133" i="7" s="1"/>
  <c r="HJ134" i="7" s="1"/>
  <c r="CA119" i="7"/>
  <c r="BK119" i="7"/>
  <c r="BL119" i="7" s="1"/>
  <c r="CA114" i="7"/>
  <c r="BK114" i="7"/>
  <c r="BL114" i="7" s="1"/>
  <c r="HH133" i="7"/>
  <c r="HH134" i="7"/>
  <c r="GX130" i="7"/>
  <c r="HV130" i="7"/>
  <c r="HZ130" i="7" s="1"/>
  <c r="GS130" i="7"/>
  <c r="GZ136" i="7"/>
  <c r="HB136" i="7" s="1"/>
  <c r="HG136" i="7" s="1"/>
  <c r="HI136" i="7" s="1"/>
  <c r="HQ129" i="7"/>
  <c r="GW121" i="7"/>
  <c r="GZ121" i="7" s="1"/>
  <c r="HB121" i="7" s="1"/>
  <c r="HG121" i="7" s="1"/>
  <c r="GU121" i="7"/>
  <c r="HF121" i="7" s="1"/>
  <c r="GS126" i="7"/>
  <c r="AJ120" i="7"/>
  <c r="AK120" i="7" s="1"/>
  <c r="AL120" i="7" s="1"/>
  <c r="AM120" i="7" s="1"/>
  <c r="AN120" i="7" s="1"/>
  <c r="CK127" i="7" l="1"/>
  <c r="HU129" i="7"/>
  <c r="BC123" i="7"/>
  <c r="FU123" i="7" s="1"/>
  <c r="FV123" i="7" s="1"/>
  <c r="HR123" i="7" s="1"/>
  <c r="HZ126" i="7"/>
  <c r="IE126" i="7" s="1"/>
  <c r="GV129" i="7"/>
  <c r="HE129" i="7" s="1"/>
  <c r="HJ133" i="7"/>
  <c r="IE130" i="7"/>
  <c r="IA130" i="7"/>
  <c r="IF130" i="7" s="1"/>
  <c r="GM119" i="7"/>
  <c r="GV119" i="7" s="1"/>
  <c r="HE119" i="7" s="1"/>
  <c r="GW129" i="7"/>
  <c r="GU129" i="7"/>
  <c r="HF129" i="7" s="1"/>
  <c r="BM114" i="7"/>
  <c r="BM119" i="7"/>
  <c r="HA136" i="7"/>
  <c r="HC136" i="7" s="1"/>
  <c r="HD136" i="7" s="1"/>
  <c r="HJ136" i="7" s="1"/>
  <c r="HV129" i="7"/>
  <c r="GX129" i="7"/>
  <c r="GW126" i="7"/>
  <c r="GZ126" i="7" s="1"/>
  <c r="HB126" i="7" s="1"/>
  <c r="HG126" i="7" s="1"/>
  <c r="GU126" i="7"/>
  <c r="HF126" i="7" s="1"/>
  <c r="GW130" i="7"/>
  <c r="GU130" i="7"/>
  <c r="HF130" i="7" s="1"/>
  <c r="BH127" i="7"/>
  <c r="BC127" i="7"/>
  <c r="FU127" i="7" s="1"/>
  <c r="FV127" i="7" s="1"/>
  <c r="BZ123" i="7"/>
  <c r="BJ123" i="7"/>
  <c r="BI123" i="7"/>
  <c r="BB120" i="7"/>
  <c r="GY130" i="7"/>
  <c r="HQ119" i="7"/>
  <c r="HA121" i="7"/>
  <c r="HC121" i="7" s="1"/>
  <c r="HD121" i="7" s="1"/>
  <c r="GF114" i="7"/>
  <c r="GG114" i="7"/>
  <c r="AJ116" i="7"/>
  <c r="AK116" i="7" s="1"/>
  <c r="AL116" i="7" s="1"/>
  <c r="AM116" i="7" s="1"/>
  <c r="GD123" i="7" l="1"/>
  <c r="GE123" i="7" s="1"/>
  <c r="GF123" i="7" s="1"/>
  <c r="HZ129" i="7"/>
  <c r="IE129" i="7" s="1"/>
  <c r="GM114" i="7"/>
  <c r="HU114" i="7" s="1"/>
  <c r="IA126" i="7"/>
  <c r="IF126" i="7" s="1"/>
  <c r="AN116" i="7"/>
  <c r="BB116" i="7"/>
  <c r="CA123" i="7"/>
  <c r="BK123" i="7"/>
  <c r="BL123" i="7" s="1"/>
  <c r="HA126" i="7"/>
  <c r="HC126" i="7" s="1"/>
  <c r="HD126" i="7" s="1"/>
  <c r="GZ129" i="7"/>
  <c r="HB129" i="7" s="1"/>
  <c r="HG129" i="7" s="1"/>
  <c r="HU119" i="7"/>
  <c r="GO119" i="7"/>
  <c r="GS119" i="7" s="1"/>
  <c r="HQ114" i="7"/>
  <c r="GZ130" i="7"/>
  <c r="HB130" i="7" s="1"/>
  <c r="HG130" i="7" s="1"/>
  <c r="CK120" i="7"/>
  <c r="BD120" i="7"/>
  <c r="BH120" i="7" s="1"/>
  <c r="HR127" i="7"/>
  <c r="GD127" i="7"/>
  <c r="GE127" i="7" s="1"/>
  <c r="GY129" i="7"/>
  <c r="BZ127" i="7"/>
  <c r="BJ127" i="7"/>
  <c r="BI127" i="7"/>
  <c r="HH130" i="7"/>
  <c r="AJ115" i="7"/>
  <c r="AK115" i="7" s="1"/>
  <c r="AL115" i="7" s="1"/>
  <c r="AM115" i="7" s="1"/>
  <c r="GG123" i="7" l="1"/>
  <c r="HQ123" i="7" s="1"/>
  <c r="IA129" i="7"/>
  <c r="IF129" i="7" s="1"/>
  <c r="GV114" i="7"/>
  <c r="HE114" i="7" s="1"/>
  <c r="GO114" i="7"/>
  <c r="GS114" i="7" s="1"/>
  <c r="GU114" i="7" s="1"/>
  <c r="HF114" i="7" s="1"/>
  <c r="AN115" i="7"/>
  <c r="BB115" i="7"/>
  <c r="CK115" i="7" s="1"/>
  <c r="HA129" i="7"/>
  <c r="HC129" i="7" s="1"/>
  <c r="HD129" i="7" s="1"/>
  <c r="CA127" i="7"/>
  <c r="BK127" i="7"/>
  <c r="BL127" i="7" s="1"/>
  <c r="HI130" i="7"/>
  <c r="HA130" i="7"/>
  <c r="HC130" i="7" s="1"/>
  <c r="HD130" i="7" s="1"/>
  <c r="BC120" i="7"/>
  <c r="FU120" i="7" s="1"/>
  <c r="FV120" i="7" s="1"/>
  <c r="HV119" i="7"/>
  <c r="HZ119" i="7" s="1"/>
  <c r="GX119" i="7"/>
  <c r="GY119" i="7" s="1"/>
  <c r="BM123" i="7"/>
  <c r="BZ120" i="7"/>
  <c r="BJ120" i="7"/>
  <c r="BI120" i="7"/>
  <c r="CK116" i="7"/>
  <c r="BD116" i="7"/>
  <c r="BH116" i="7" s="1"/>
  <c r="GG127" i="7"/>
  <c r="GF127" i="7"/>
  <c r="GW119" i="7"/>
  <c r="GU119" i="7"/>
  <c r="HF119" i="7" s="1"/>
  <c r="AJ118" i="7"/>
  <c r="AK118" i="7" s="1"/>
  <c r="AL118" i="7" s="1"/>
  <c r="AM118" i="7" s="1"/>
  <c r="GM123" i="7" l="1"/>
  <c r="GV123" i="7" s="1"/>
  <c r="HE123" i="7" s="1"/>
  <c r="BD115" i="7"/>
  <c r="BH115" i="7" s="1"/>
  <c r="GW114" i="7"/>
  <c r="GX114" i="7"/>
  <c r="GY114" i="7" s="1"/>
  <c r="HV114" i="7"/>
  <c r="HZ114" i="7" s="1"/>
  <c r="IE114" i="7" s="1"/>
  <c r="GO123" i="7"/>
  <c r="GS123" i="7" s="1"/>
  <c r="HU123" i="7"/>
  <c r="AN118" i="7"/>
  <c r="BB118" i="7"/>
  <c r="HJ130" i="7"/>
  <c r="BZ116" i="7"/>
  <c r="BJ116" i="7"/>
  <c r="BI116" i="7"/>
  <c r="HH114" i="7"/>
  <c r="GD120" i="7"/>
  <c r="GE120" i="7" s="1"/>
  <c r="HR120" i="7"/>
  <c r="IE119" i="7"/>
  <c r="IA119" i="7"/>
  <c r="IF119" i="7" s="1"/>
  <c r="CA120" i="7"/>
  <c r="BK120" i="7"/>
  <c r="BL120" i="7" s="1"/>
  <c r="HQ127" i="7"/>
  <c r="GM127" i="7"/>
  <c r="GV127" i="7" s="1"/>
  <c r="HE127" i="7" s="1"/>
  <c r="BC116" i="7"/>
  <c r="FU116" i="7" s="1"/>
  <c r="FV116" i="7" s="1"/>
  <c r="GZ119" i="7"/>
  <c r="HA119" i="7" s="1"/>
  <c r="HC119" i="7" s="1"/>
  <c r="HD119" i="7" s="1"/>
  <c r="BM127" i="7"/>
  <c r="AJ131" i="7"/>
  <c r="AK131" i="7" s="1"/>
  <c r="AL131" i="7" s="1"/>
  <c r="AM131" i="7" s="1"/>
  <c r="BC115" i="7" l="1"/>
  <c r="FU115" i="7" s="1"/>
  <c r="FV115" i="7" s="1"/>
  <c r="GD115" i="7" s="1"/>
  <c r="GE115" i="7" s="1"/>
  <c r="GZ114" i="7"/>
  <c r="HB114" i="7" s="1"/>
  <c r="HG114" i="7" s="1"/>
  <c r="HI114" i="7" s="1"/>
  <c r="IA114" i="7"/>
  <c r="IF114" i="7" s="1"/>
  <c r="GX123" i="7"/>
  <c r="GY123" i="7" s="1"/>
  <c r="HV123" i="7"/>
  <c r="HZ123" i="7" s="1"/>
  <c r="IA123" i="7" s="1"/>
  <c r="IF123" i="7" s="1"/>
  <c r="AN131" i="7"/>
  <c r="BB131" i="7"/>
  <c r="CA116" i="7"/>
  <c r="BK116" i="7"/>
  <c r="BL116" i="7" s="1"/>
  <c r="HB119" i="7"/>
  <c r="HG119" i="7" s="1"/>
  <c r="BJ115" i="7"/>
  <c r="BZ115" i="7"/>
  <c r="BI115" i="7"/>
  <c r="HR116" i="7"/>
  <c r="GD116" i="7"/>
  <c r="GE116" i="7" s="1"/>
  <c r="HU127" i="7"/>
  <c r="GO127" i="7"/>
  <c r="GF120" i="7"/>
  <c r="GG120" i="7"/>
  <c r="BM120" i="7"/>
  <c r="CK118" i="7"/>
  <c r="BD118" i="7"/>
  <c r="BH118" i="7" s="1"/>
  <c r="GW123" i="7"/>
  <c r="GU123" i="7"/>
  <c r="HF123" i="7" s="1"/>
  <c r="AJ124" i="7"/>
  <c r="AK124" i="7" s="1"/>
  <c r="AL124" i="7" s="1"/>
  <c r="AM124" i="7" s="1"/>
  <c r="HR115" i="7" l="1"/>
  <c r="HA114" i="7"/>
  <c r="HC114" i="7" s="1"/>
  <c r="HD114" i="7" s="1"/>
  <c r="HJ114" i="7" s="1"/>
  <c r="GZ123" i="7"/>
  <c r="HB123" i="7" s="1"/>
  <c r="HG123" i="7" s="1"/>
  <c r="IE123" i="7"/>
  <c r="GM120" i="7"/>
  <c r="HU120" i="7" s="1"/>
  <c r="BC118" i="7"/>
  <c r="FU118" i="7" s="1"/>
  <c r="FV118" i="7" s="1"/>
  <c r="HR118" i="7" s="1"/>
  <c r="AN124" i="7"/>
  <c r="BB124" i="7"/>
  <c r="CA115" i="7"/>
  <c r="BK115" i="7"/>
  <c r="BL115" i="7" s="1"/>
  <c r="GX127" i="7"/>
  <c r="HV127" i="7"/>
  <c r="HZ127" i="7" s="1"/>
  <c r="GG116" i="7"/>
  <c r="GF116" i="7"/>
  <c r="BM116" i="7"/>
  <c r="GF115" i="7"/>
  <c r="GG115" i="7"/>
  <c r="GS127" i="7"/>
  <c r="BJ118" i="7"/>
  <c r="BZ118" i="7"/>
  <c r="BI118" i="7"/>
  <c r="CK131" i="7"/>
  <c r="BD131" i="7"/>
  <c r="BH131" i="7" s="1"/>
  <c r="HQ120" i="7"/>
  <c r="AJ117" i="7"/>
  <c r="AK117" i="7" s="1"/>
  <c r="AL117" i="7" s="1"/>
  <c r="AM117" i="7" s="1"/>
  <c r="GV120" i="7" l="1"/>
  <c r="HE120" i="7" s="1"/>
  <c r="GM115" i="7"/>
  <c r="GO115" i="7" s="1"/>
  <c r="HA123" i="7"/>
  <c r="HC123" i="7" s="1"/>
  <c r="HD123" i="7" s="1"/>
  <c r="GO120" i="7"/>
  <c r="GS120" i="7" s="1"/>
  <c r="GD118" i="7"/>
  <c r="GE118" i="7" s="1"/>
  <c r="GF118" i="7" s="1"/>
  <c r="AN117" i="7"/>
  <c r="BB117" i="7"/>
  <c r="IA127" i="7"/>
  <c r="IF127" i="7" s="1"/>
  <c r="IE127" i="7"/>
  <c r="CA118" i="7"/>
  <c r="BK118" i="7"/>
  <c r="BL118" i="7" s="1"/>
  <c r="BC131" i="7"/>
  <c r="FU131" i="7" s="1"/>
  <c r="FV131" i="7" s="1"/>
  <c r="HQ115" i="7"/>
  <c r="BM115" i="7"/>
  <c r="HQ116" i="7"/>
  <c r="GM116" i="7"/>
  <c r="CK124" i="7"/>
  <c r="BD124" i="7"/>
  <c r="BH124" i="7" s="1"/>
  <c r="BZ131" i="7"/>
  <c r="BJ131" i="7"/>
  <c r="BI131" i="7"/>
  <c r="GW127" i="7"/>
  <c r="GZ127" i="7" s="1"/>
  <c r="HB127" i="7" s="1"/>
  <c r="HG127" i="7" s="1"/>
  <c r="HI127" i="7" s="1"/>
  <c r="GU127" i="7"/>
  <c r="HF127" i="7" s="1"/>
  <c r="GY127" i="7"/>
  <c r="AJ122" i="7"/>
  <c r="AK122" i="7" s="1"/>
  <c r="AL122" i="7" s="1"/>
  <c r="AM122" i="7" s="1"/>
  <c r="HU115" i="7" l="1"/>
  <c r="GV115" i="7"/>
  <c r="HE115" i="7" s="1"/>
  <c r="GX120" i="7"/>
  <c r="GY120" i="7" s="1"/>
  <c r="HV120" i="7"/>
  <c r="HZ120" i="7" s="1"/>
  <c r="IE120" i="7" s="1"/>
  <c r="GG118" i="7"/>
  <c r="GM118" i="7" s="1"/>
  <c r="HU118" i="7" s="1"/>
  <c r="AN122" i="7"/>
  <c r="BB122" i="7"/>
  <c r="HR131" i="7"/>
  <c r="GD131" i="7"/>
  <c r="GE131" i="7" s="1"/>
  <c r="HV115" i="7"/>
  <c r="GX115" i="7"/>
  <c r="GY115" i="7" s="1"/>
  <c r="BM118" i="7"/>
  <c r="CA131" i="7"/>
  <c r="BK131" i="7"/>
  <c r="BL131" i="7" s="1"/>
  <c r="BC124" i="7"/>
  <c r="FU124" i="7" s="1"/>
  <c r="FV124" i="7" s="1"/>
  <c r="HH127" i="7"/>
  <c r="BZ124" i="7"/>
  <c r="BJ124" i="7"/>
  <c r="BI124" i="7"/>
  <c r="HA127" i="7"/>
  <c r="HC127" i="7" s="1"/>
  <c r="HD127" i="7" s="1"/>
  <c r="HJ127" i="7" s="1"/>
  <c r="HU116" i="7"/>
  <c r="GO116" i="7"/>
  <c r="GV116" i="7"/>
  <c r="HE116" i="7" s="1"/>
  <c r="GS115" i="7"/>
  <c r="CK117" i="7"/>
  <c r="BD117" i="7"/>
  <c r="BH117" i="7" s="1"/>
  <c r="GW120" i="7"/>
  <c r="GU120" i="7"/>
  <c r="HF120" i="7" s="1"/>
  <c r="AJ125" i="7"/>
  <c r="AK125" i="7" s="1"/>
  <c r="AL125" i="7" s="1"/>
  <c r="AM125" i="7" s="1"/>
  <c r="HZ115" i="7" l="1"/>
  <c r="IA115" i="7" s="1"/>
  <c r="IF115" i="7" s="1"/>
  <c r="IA120" i="7"/>
  <c r="IF120" i="7" s="1"/>
  <c r="HQ118" i="7"/>
  <c r="GV118" i="7"/>
  <c r="HE118" i="7" s="1"/>
  <c r="BC117" i="7"/>
  <c r="FU117" i="7" s="1"/>
  <c r="FV117" i="7" s="1"/>
  <c r="HR117" i="7" s="1"/>
  <c r="GO118" i="7"/>
  <c r="GS118" i="7" s="1"/>
  <c r="GU118" i="7" s="1"/>
  <c r="HF118" i="7" s="1"/>
  <c r="AN125" i="7"/>
  <c r="BB125" i="7"/>
  <c r="HV116" i="7"/>
  <c r="HZ116" i="7" s="1"/>
  <c r="GX116" i="7"/>
  <c r="GY116" i="7" s="1"/>
  <c r="CA124" i="7"/>
  <c r="BK124" i="7"/>
  <c r="BL124" i="7" s="1"/>
  <c r="BZ117" i="7"/>
  <c r="BJ117" i="7"/>
  <c r="BI117" i="7"/>
  <c r="GZ120" i="7"/>
  <c r="HB120" i="7" s="1"/>
  <c r="HG120" i="7" s="1"/>
  <c r="HR124" i="7"/>
  <c r="GD124" i="7"/>
  <c r="GE124" i="7" s="1"/>
  <c r="BM131" i="7"/>
  <c r="GS116" i="7"/>
  <c r="HH120" i="7"/>
  <c r="HH121" i="7"/>
  <c r="GW115" i="7"/>
  <c r="GZ115" i="7" s="1"/>
  <c r="HB115" i="7" s="1"/>
  <c r="HG115" i="7" s="1"/>
  <c r="HI115" i="7" s="1"/>
  <c r="GU115" i="7"/>
  <c r="HF115" i="7" s="1"/>
  <c r="GG131" i="7"/>
  <c r="GF131" i="7"/>
  <c r="CK122" i="7"/>
  <c r="BD122" i="7"/>
  <c r="BH122" i="7" s="1"/>
  <c r="AJ128" i="7"/>
  <c r="AK128" i="7" s="1"/>
  <c r="AL128" i="7" s="1"/>
  <c r="AM128" i="7" s="1"/>
  <c r="IE115" i="7" l="1"/>
  <c r="GD117" i="7"/>
  <c r="GE117" i="7" s="1"/>
  <c r="GG117" i="7" s="1"/>
  <c r="GW118" i="7"/>
  <c r="GM131" i="7"/>
  <c r="GO131" i="7" s="1"/>
  <c r="GS131" i="7" s="1"/>
  <c r="GX118" i="7"/>
  <c r="GY118" i="7" s="1"/>
  <c r="HV118" i="7"/>
  <c r="HZ118" i="7" s="1"/>
  <c r="IE118" i="7" s="1"/>
  <c r="HA120" i="7"/>
  <c r="HC120" i="7" s="1"/>
  <c r="HD120" i="7" s="1"/>
  <c r="HJ121" i="7" s="1"/>
  <c r="IA116" i="7"/>
  <c r="IF116" i="7" s="1"/>
  <c r="IE116" i="7"/>
  <c r="AN128" i="7"/>
  <c r="BB128" i="7"/>
  <c r="BC122" i="7"/>
  <c r="FU122" i="7" s="1"/>
  <c r="FV122" i="7" s="1"/>
  <c r="GF124" i="7"/>
  <c r="GG124" i="7"/>
  <c r="CK125" i="7"/>
  <c r="BD125" i="7"/>
  <c r="BH125" i="7" s="1"/>
  <c r="HQ131" i="7"/>
  <c r="GW116" i="7"/>
  <c r="GU116" i="7"/>
  <c r="HF116" i="7" s="1"/>
  <c r="BM124" i="7"/>
  <c r="HI120" i="7"/>
  <c r="HI121" i="7"/>
  <c r="HH115" i="7"/>
  <c r="BZ122" i="7"/>
  <c r="BJ122" i="7"/>
  <c r="BI122" i="7"/>
  <c r="HA115" i="7"/>
  <c r="HC115" i="7" s="1"/>
  <c r="HD115" i="7" s="1"/>
  <c r="HJ115" i="7" s="1"/>
  <c r="HH119" i="7"/>
  <c r="CA117" i="7"/>
  <c r="BK117" i="7"/>
  <c r="BL117" i="7" s="1"/>
  <c r="GF117" i="7"/>
  <c r="AJ139" i="7"/>
  <c r="AK139" i="7" s="1"/>
  <c r="AL139" i="7" s="1"/>
  <c r="AM139" i="7" s="1"/>
  <c r="AJ143" i="7"/>
  <c r="AK143" i="7" s="1"/>
  <c r="AL143" i="7" s="1"/>
  <c r="AM143" i="7" s="1"/>
  <c r="AJ145" i="7"/>
  <c r="AK145" i="7" s="1"/>
  <c r="AL145" i="7" s="1"/>
  <c r="AM145" i="7" s="1"/>
  <c r="AJ146" i="7"/>
  <c r="AK146" i="7" s="1"/>
  <c r="AL146" i="7" s="1"/>
  <c r="AM146" i="7" s="1"/>
  <c r="AJ141" i="7"/>
  <c r="AK141" i="7" s="1"/>
  <c r="AL141" i="7" s="1"/>
  <c r="AM141" i="7" s="1"/>
  <c r="AJ144" i="7"/>
  <c r="AK144" i="7" s="1"/>
  <c r="AL144" i="7" s="1"/>
  <c r="AM144" i="7" s="1"/>
  <c r="AJ153" i="7"/>
  <c r="AK153" i="7" s="1"/>
  <c r="AL153" i="7" s="1"/>
  <c r="AM153" i="7" s="1"/>
  <c r="AN153" i="7" s="1"/>
  <c r="AJ140" i="7"/>
  <c r="AK140" i="7" s="1"/>
  <c r="AL140" i="7" s="1"/>
  <c r="AM140" i="7" s="1"/>
  <c r="AJ137" i="7"/>
  <c r="AK137" i="7" s="1"/>
  <c r="AL137" i="7" s="1"/>
  <c r="AM137" i="7" s="1"/>
  <c r="AN137" i="7" s="1"/>
  <c r="AJ148" i="7"/>
  <c r="AK148" i="7" s="1"/>
  <c r="AL148" i="7" s="1"/>
  <c r="AM148" i="7" s="1"/>
  <c r="AJ152" i="7"/>
  <c r="AK152" i="7" s="1"/>
  <c r="AL152" i="7" s="1"/>
  <c r="AM152" i="7" s="1"/>
  <c r="AJ138" i="7"/>
  <c r="AK138" i="7" s="1"/>
  <c r="AL138" i="7" s="1"/>
  <c r="AM138" i="7" s="1"/>
  <c r="AN138" i="7" s="1"/>
  <c r="AJ149" i="7"/>
  <c r="AK149" i="7" s="1"/>
  <c r="AL149" i="7" s="1"/>
  <c r="AM149" i="7" s="1"/>
  <c r="AN149" i="7" s="1"/>
  <c r="AJ151" i="7"/>
  <c r="AK151" i="7" s="1"/>
  <c r="AL151" i="7" s="1"/>
  <c r="AM151" i="7" s="1"/>
  <c r="AJ154" i="7"/>
  <c r="AK154" i="7" s="1"/>
  <c r="AL154" i="7" s="1"/>
  <c r="AM154" i="7" s="1"/>
  <c r="AJ142" i="7"/>
  <c r="AK142" i="7" s="1"/>
  <c r="AL142" i="7" s="1"/>
  <c r="AM142" i="7" s="1"/>
  <c r="AN142" i="7" s="1"/>
  <c r="AJ147" i="7"/>
  <c r="AK147" i="7" s="1"/>
  <c r="AL147" i="7" s="1"/>
  <c r="AM147" i="7" s="1"/>
  <c r="AN147" i="7" s="1"/>
  <c r="AJ150" i="7"/>
  <c r="AK150" i="7" s="1"/>
  <c r="AL150" i="7" s="1"/>
  <c r="AM150" i="7" s="1"/>
  <c r="AJ155" i="7"/>
  <c r="AK155" i="7" s="1"/>
  <c r="AL155" i="7" s="1"/>
  <c r="AM155" i="7" s="1"/>
  <c r="AJ85" i="7"/>
  <c r="AK85" i="7" s="1"/>
  <c r="AL85" i="7" s="1"/>
  <c r="AM85" i="7" s="1"/>
  <c r="AN85" i="7" s="1"/>
  <c r="AJ98" i="7"/>
  <c r="AK98" i="7" s="1"/>
  <c r="AL98" i="7" s="1"/>
  <c r="AM98" i="7" s="1"/>
  <c r="AJ97" i="7"/>
  <c r="AK97" i="7" s="1"/>
  <c r="AL97" i="7" s="1"/>
  <c r="AM97" i="7" s="1"/>
  <c r="AJ109" i="7"/>
  <c r="AK109" i="7" s="1"/>
  <c r="AL109" i="7" s="1"/>
  <c r="AM109" i="7" s="1"/>
  <c r="AJ93" i="7"/>
  <c r="AK93" i="7" s="1"/>
  <c r="AL93" i="7" s="1"/>
  <c r="AM93" i="7" s="1"/>
  <c r="AJ111" i="7"/>
  <c r="AK111" i="7" s="1"/>
  <c r="AL111" i="7" s="1"/>
  <c r="AM111" i="7" s="1"/>
  <c r="AN111" i="7" s="1"/>
  <c r="AJ84" i="7"/>
  <c r="AK84" i="7" s="1"/>
  <c r="AL84" i="7" s="1"/>
  <c r="AM84" i="7" s="1"/>
  <c r="AJ91" i="7"/>
  <c r="AK91" i="7" s="1"/>
  <c r="AL91" i="7" s="1"/>
  <c r="AM91" i="7" s="1"/>
  <c r="AJ77" i="7"/>
  <c r="AK77" i="7" s="1"/>
  <c r="AL77" i="7" s="1"/>
  <c r="AM77" i="7" s="1"/>
  <c r="AJ94" i="7"/>
  <c r="AK94" i="7" s="1"/>
  <c r="AL94" i="7" s="1"/>
  <c r="AM94" i="7" s="1"/>
  <c r="AJ87" i="7"/>
  <c r="AK87" i="7" s="1"/>
  <c r="AL87" i="7" s="1"/>
  <c r="AM87" i="7" s="1"/>
  <c r="AJ110" i="7"/>
  <c r="AK110" i="7" s="1"/>
  <c r="AL110" i="7" s="1"/>
  <c r="AM110" i="7" s="1"/>
  <c r="AJ92" i="7"/>
  <c r="AK92" i="7" s="1"/>
  <c r="AL92" i="7" s="1"/>
  <c r="AM92" i="7" s="1"/>
  <c r="AN92" i="7" s="1"/>
  <c r="AJ102" i="7"/>
  <c r="AK102" i="7" s="1"/>
  <c r="AL102" i="7" s="1"/>
  <c r="AM102" i="7" s="1"/>
  <c r="AN102" i="7" s="1"/>
  <c r="AJ104" i="7"/>
  <c r="AK104" i="7" s="1"/>
  <c r="AL104" i="7" s="1"/>
  <c r="AM104" i="7" s="1"/>
  <c r="AJ156" i="7"/>
  <c r="AK156" i="7" s="1"/>
  <c r="AL156" i="7" s="1"/>
  <c r="AM156" i="7" s="1"/>
  <c r="AJ82" i="7"/>
  <c r="AK82" i="7" s="1"/>
  <c r="AL82" i="7" s="1"/>
  <c r="AM82" i="7" s="1"/>
  <c r="AJ99" i="7"/>
  <c r="AK99" i="7" s="1"/>
  <c r="AL99" i="7" s="1"/>
  <c r="AM99" i="7" s="1"/>
  <c r="AJ107" i="7"/>
  <c r="AK107" i="7" s="1"/>
  <c r="AL107" i="7" s="1"/>
  <c r="AM107" i="7" s="1"/>
  <c r="AJ103" i="7"/>
  <c r="AK103" i="7" s="1"/>
  <c r="AL103" i="7" s="1"/>
  <c r="AM103" i="7" s="1"/>
  <c r="AJ90" i="7"/>
  <c r="AK90" i="7" s="1"/>
  <c r="AL90" i="7" s="1"/>
  <c r="AM90" i="7" s="1"/>
  <c r="AJ100" i="7"/>
  <c r="AK100" i="7" s="1"/>
  <c r="AL100" i="7" s="1"/>
  <c r="AM100" i="7" s="1"/>
  <c r="AJ78" i="7"/>
  <c r="AK78" i="7" s="1"/>
  <c r="AL78" i="7" s="1"/>
  <c r="AM78" i="7" s="1"/>
  <c r="AJ95" i="7"/>
  <c r="AK95" i="7" s="1"/>
  <c r="AL95" i="7" s="1"/>
  <c r="AM95" i="7" s="1"/>
  <c r="AJ108" i="7"/>
  <c r="AK108" i="7" s="1"/>
  <c r="AL108" i="7" s="1"/>
  <c r="AM108" i="7" s="1"/>
  <c r="AJ76" i="7"/>
  <c r="AK76" i="7" s="1"/>
  <c r="AL76" i="7" s="1"/>
  <c r="AM76" i="7" s="1"/>
  <c r="AJ80" i="7"/>
  <c r="AK80" i="7" s="1"/>
  <c r="AL80" i="7" s="1"/>
  <c r="AM80" i="7" s="1"/>
  <c r="AJ81" i="7"/>
  <c r="AK81" i="7" s="1"/>
  <c r="AL81" i="7" s="1"/>
  <c r="AM81" i="7" s="1"/>
  <c r="AN81" i="7" s="1"/>
  <c r="AJ86" i="7"/>
  <c r="AK86" i="7" s="1"/>
  <c r="AL86" i="7" s="1"/>
  <c r="AM86" i="7" s="1"/>
  <c r="AJ83" i="7"/>
  <c r="AK83" i="7" s="1"/>
  <c r="AL83" i="7" s="1"/>
  <c r="AM83" i="7" s="1"/>
  <c r="AJ112" i="7"/>
  <c r="AK112" i="7" s="1"/>
  <c r="AL112" i="7" s="1"/>
  <c r="AM112" i="7" s="1"/>
  <c r="AJ88" i="7"/>
  <c r="AK88" i="7" s="1"/>
  <c r="AL88" i="7" s="1"/>
  <c r="AM88" i="7" s="1"/>
  <c r="AJ105" i="7"/>
  <c r="AK105" i="7" s="1"/>
  <c r="AL105" i="7" s="1"/>
  <c r="AM105" i="7" s="1"/>
  <c r="BB111" i="7" l="1"/>
  <c r="GZ118" i="7"/>
  <c r="HA118" i="7" s="1"/>
  <c r="HC118" i="7" s="1"/>
  <c r="HD118" i="7" s="1"/>
  <c r="GV131" i="7"/>
  <c r="HE131" i="7" s="1"/>
  <c r="HU131" i="7"/>
  <c r="IA118" i="7"/>
  <c r="IF118" i="7" s="1"/>
  <c r="AN105" i="7"/>
  <c r="BB105" i="7"/>
  <c r="CK105" i="7" s="1"/>
  <c r="AN87" i="7"/>
  <c r="BB87" i="7"/>
  <c r="AN148" i="7"/>
  <c r="BB148" i="7"/>
  <c r="BD148" i="7" s="1"/>
  <c r="BH148" i="7" s="1"/>
  <c r="BZ148" i="7" s="1"/>
  <c r="AN108" i="7"/>
  <c r="BB108" i="7"/>
  <c r="CK108" i="7" s="1"/>
  <c r="AN94" i="7"/>
  <c r="BB94" i="7"/>
  <c r="CK94" i="7" s="1"/>
  <c r="AN86" i="7"/>
  <c r="BB86" i="7"/>
  <c r="BB149" i="7"/>
  <c r="CK149" i="7" s="1"/>
  <c r="GM117" i="7"/>
  <c r="GO117" i="7" s="1"/>
  <c r="GS117" i="7" s="1"/>
  <c r="BB92" i="7"/>
  <c r="BD92" i="7" s="1"/>
  <c r="BH92" i="7" s="1"/>
  <c r="BJ92" i="7" s="1"/>
  <c r="BB142" i="7"/>
  <c r="CK142" i="7" s="1"/>
  <c r="HJ120" i="7"/>
  <c r="BB85" i="7"/>
  <c r="BD85" i="7" s="1"/>
  <c r="BH85" i="7" s="1"/>
  <c r="BC125" i="7"/>
  <c r="FU125" i="7" s="1"/>
  <c r="FV125" i="7" s="1"/>
  <c r="GD125" i="7" s="1"/>
  <c r="GE125" i="7" s="1"/>
  <c r="AN88" i="7"/>
  <c r="BB88" i="7"/>
  <c r="AN82" i="7"/>
  <c r="BB82" i="7"/>
  <c r="AN112" i="7"/>
  <c r="BB112" i="7"/>
  <c r="AN84" i="7"/>
  <c r="BB84" i="7"/>
  <c r="AN80" i="7"/>
  <c r="BB80" i="7"/>
  <c r="AN78" i="7"/>
  <c r="BB78" i="7"/>
  <c r="GW131" i="7"/>
  <c r="GU131" i="7"/>
  <c r="HF131" i="7" s="1"/>
  <c r="AN83" i="7"/>
  <c r="BB83" i="7"/>
  <c r="AN98" i="7"/>
  <c r="BB98" i="7"/>
  <c r="AN103" i="7"/>
  <c r="BB103" i="7"/>
  <c r="AN91" i="7"/>
  <c r="BB91" i="7"/>
  <c r="CK87" i="7"/>
  <c r="BD87" i="7"/>
  <c r="BH87" i="7" s="1"/>
  <c r="AN140" i="7"/>
  <c r="BB140" i="7"/>
  <c r="AN144" i="7"/>
  <c r="BB144" i="7"/>
  <c r="AN145" i="7"/>
  <c r="BB145" i="7"/>
  <c r="AN76" i="7"/>
  <c r="BB76" i="7"/>
  <c r="CK111" i="7"/>
  <c r="BD111" i="7"/>
  <c r="BH111" i="7" s="1"/>
  <c r="AN150" i="7"/>
  <c r="BB150" i="7"/>
  <c r="AN154" i="7"/>
  <c r="BB154" i="7"/>
  <c r="AN141" i="7"/>
  <c r="BB141" i="7"/>
  <c r="AN95" i="7"/>
  <c r="BB95" i="7"/>
  <c r="AN93" i="7"/>
  <c r="BB93" i="7"/>
  <c r="AN99" i="7"/>
  <c r="BB99" i="7"/>
  <c r="AN155" i="7"/>
  <c r="BB155" i="7"/>
  <c r="AN104" i="7"/>
  <c r="BB104" i="7"/>
  <c r="AN100" i="7"/>
  <c r="BB100" i="7"/>
  <c r="AN77" i="7"/>
  <c r="BB77" i="7"/>
  <c r="BB102" i="7"/>
  <c r="AN156" i="7"/>
  <c r="BB156" i="7"/>
  <c r="CK86" i="7"/>
  <c r="BD86" i="7"/>
  <c r="BH86" i="7" s="1"/>
  <c r="AN90" i="7"/>
  <c r="BB90" i="7"/>
  <c r="AN107" i="7"/>
  <c r="BB107" i="7"/>
  <c r="BB81" i="7"/>
  <c r="AN110" i="7"/>
  <c r="BB110" i="7"/>
  <c r="AN109" i="7"/>
  <c r="BB109" i="7"/>
  <c r="BB153" i="7"/>
  <c r="BB147" i="7"/>
  <c r="BB138" i="7"/>
  <c r="HH116" i="7"/>
  <c r="AN152" i="7"/>
  <c r="BB152" i="7"/>
  <c r="GZ116" i="7"/>
  <c r="HB116" i="7" s="1"/>
  <c r="HG116" i="7" s="1"/>
  <c r="HI116" i="7" s="1"/>
  <c r="CK92" i="7"/>
  <c r="BC92" i="7"/>
  <c r="FU92" i="7" s="1"/>
  <c r="FV92" i="7" s="1"/>
  <c r="AN97" i="7"/>
  <c r="BB97" i="7"/>
  <c r="AN151" i="7"/>
  <c r="BB151" i="7"/>
  <c r="AN143" i="7"/>
  <c r="BB143" i="7"/>
  <c r="AN139" i="7"/>
  <c r="BB139" i="7"/>
  <c r="AN146" i="7"/>
  <c r="BB146" i="7"/>
  <c r="BB137" i="7"/>
  <c r="CK128" i="7"/>
  <c r="BD128" i="7"/>
  <c r="BH128" i="7" s="1"/>
  <c r="GM124" i="7"/>
  <c r="GV124" i="7" s="1"/>
  <c r="HE124" i="7" s="1"/>
  <c r="HV131" i="7"/>
  <c r="HZ131" i="7" s="1"/>
  <c r="GX131" i="7"/>
  <c r="GY131" i="7" s="1"/>
  <c r="HQ124" i="7"/>
  <c r="HQ117" i="7"/>
  <c r="CA122" i="7"/>
  <c r="BK122" i="7"/>
  <c r="BL122" i="7" s="1"/>
  <c r="HR122" i="7"/>
  <c r="GD122" i="7"/>
  <c r="GE122" i="7" s="1"/>
  <c r="BM117" i="7"/>
  <c r="BZ125" i="7"/>
  <c r="BJ125" i="7"/>
  <c r="BI125" i="7"/>
  <c r="AJ79" i="7"/>
  <c r="AK79" i="7" s="1"/>
  <c r="AL79" i="7" s="1"/>
  <c r="AM79" i="7" s="1"/>
  <c r="AJ106" i="7"/>
  <c r="AK106" i="7" s="1"/>
  <c r="AL106" i="7" s="1"/>
  <c r="AM106" i="7" s="1"/>
  <c r="AJ96" i="7"/>
  <c r="AK96" i="7" s="1"/>
  <c r="AL96" i="7" s="1"/>
  <c r="AM96" i="7" s="1"/>
  <c r="AJ89" i="7"/>
  <c r="AK89" i="7" s="1"/>
  <c r="AL89" i="7" s="1"/>
  <c r="AM89" i="7" s="1"/>
  <c r="AJ75" i="7"/>
  <c r="AK75" i="7" s="1"/>
  <c r="AL75" i="7" s="1"/>
  <c r="AM75" i="7" s="1"/>
  <c r="CK148" i="7" l="1"/>
  <c r="BJ148" i="7"/>
  <c r="BI148" i="7"/>
  <c r="CA148" i="7" s="1"/>
  <c r="BC148" i="7"/>
  <c r="FU148" i="7" s="1"/>
  <c r="FV148" i="7" s="1"/>
  <c r="HR148" i="7" s="1"/>
  <c r="BD149" i="7"/>
  <c r="BH149" i="7" s="1"/>
  <c r="BJ149" i="7" s="1"/>
  <c r="CK85" i="7"/>
  <c r="HR125" i="7"/>
  <c r="BD94" i="7"/>
  <c r="BH94" i="7" s="1"/>
  <c r="BJ94" i="7" s="1"/>
  <c r="BI92" i="7"/>
  <c r="CA92" i="7" s="1"/>
  <c r="HB118" i="7"/>
  <c r="HG118" i="7" s="1"/>
  <c r="HI119" i="7" s="1"/>
  <c r="BD105" i="7"/>
  <c r="BH105" i="7" s="1"/>
  <c r="BZ105" i="7" s="1"/>
  <c r="BD142" i="7"/>
  <c r="BH142" i="7" s="1"/>
  <c r="BZ142" i="7" s="1"/>
  <c r="BC111" i="7"/>
  <c r="FU111" i="7" s="1"/>
  <c r="FV111" i="7" s="1"/>
  <c r="HR111" i="7" s="1"/>
  <c r="GV117" i="7"/>
  <c r="HE117" i="7" s="1"/>
  <c r="HU117" i="7"/>
  <c r="BZ92" i="7"/>
  <c r="BD108" i="7"/>
  <c r="BH108" i="7" s="1"/>
  <c r="BI108" i="7" s="1"/>
  <c r="BC86" i="7"/>
  <c r="FU86" i="7" s="1"/>
  <c r="FV86" i="7" s="1"/>
  <c r="HR86" i="7" s="1"/>
  <c r="AN89" i="7"/>
  <c r="BB89" i="7"/>
  <c r="AN96" i="7"/>
  <c r="BB96" i="7"/>
  <c r="AN106" i="7"/>
  <c r="BB106" i="7"/>
  <c r="IA131" i="7"/>
  <c r="IF131" i="7" s="1"/>
  <c r="IE131" i="7"/>
  <c r="AN75" i="7"/>
  <c r="BB75" i="7"/>
  <c r="AN79" i="7"/>
  <c r="BB79" i="7"/>
  <c r="CK154" i="7"/>
  <c r="BD154" i="7"/>
  <c r="BH154" i="7" s="1"/>
  <c r="CK91" i="7"/>
  <c r="BD91" i="7"/>
  <c r="BH91" i="7" s="1"/>
  <c r="CK97" i="7"/>
  <c r="BD97" i="7"/>
  <c r="BH97" i="7" s="1"/>
  <c r="CK100" i="7"/>
  <c r="BD100" i="7"/>
  <c r="BH100" i="7" s="1"/>
  <c r="BZ85" i="7"/>
  <c r="BJ85" i="7"/>
  <c r="BI85" i="7"/>
  <c r="CK84" i="7"/>
  <c r="BD84" i="7"/>
  <c r="BH84" i="7" s="1"/>
  <c r="GF125" i="7"/>
  <c r="GG125" i="7"/>
  <c r="HV117" i="7"/>
  <c r="GX117" i="7"/>
  <c r="GY117" i="7" s="1"/>
  <c r="CK109" i="7"/>
  <c r="BD109" i="7"/>
  <c r="BH109" i="7" s="1"/>
  <c r="BC85" i="7"/>
  <c r="FU85" i="7" s="1"/>
  <c r="FV85" i="7" s="1"/>
  <c r="CK150" i="7"/>
  <c r="BD150" i="7"/>
  <c r="BH150" i="7" s="1"/>
  <c r="CK76" i="7"/>
  <c r="BD76" i="7"/>
  <c r="BH76" i="7" s="1"/>
  <c r="CK103" i="7"/>
  <c r="BD103" i="7"/>
  <c r="BH103" i="7" s="1"/>
  <c r="CA125" i="7"/>
  <c r="BK125" i="7"/>
  <c r="BL125" i="7" s="1"/>
  <c r="CK156" i="7"/>
  <c r="BD156" i="7"/>
  <c r="BH156" i="7" s="1"/>
  <c r="BC149" i="7"/>
  <c r="FU149" i="7" s="1"/>
  <c r="FV149" i="7" s="1"/>
  <c r="CK83" i="7"/>
  <c r="BD83" i="7"/>
  <c r="BH83" i="7" s="1"/>
  <c r="HU124" i="7"/>
  <c r="GO124" i="7"/>
  <c r="CK139" i="7"/>
  <c r="BD139" i="7"/>
  <c r="BH139" i="7" s="1"/>
  <c r="GD92" i="7"/>
  <c r="GE92" i="7" s="1"/>
  <c r="HR92" i="7"/>
  <c r="CK104" i="7"/>
  <c r="BD104" i="7"/>
  <c r="BH104" i="7" s="1"/>
  <c r="CK155" i="7"/>
  <c r="BD155" i="7"/>
  <c r="BH155" i="7" s="1"/>
  <c r="HH131" i="7"/>
  <c r="HH132" i="7"/>
  <c r="CK112" i="7"/>
  <c r="BD112" i="7"/>
  <c r="BH112" i="7" s="1"/>
  <c r="GD148" i="7"/>
  <c r="GE148" i="7" s="1"/>
  <c r="BC128" i="7"/>
  <c r="FU128" i="7" s="1"/>
  <c r="FV128" i="7" s="1"/>
  <c r="CK110" i="7"/>
  <c r="BD110" i="7"/>
  <c r="BH110" i="7" s="1"/>
  <c r="CK90" i="7"/>
  <c r="BD90" i="7"/>
  <c r="BH90" i="7" s="1"/>
  <c r="CK95" i="7"/>
  <c r="BD95" i="7"/>
  <c r="BH95" i="7" s="1"/>
  <c r="BJ111" i="7"/>
  <c r="BZ111" i="7"/>
  <c r="BI111" i="7"/>
  <c r="CK145" i="7"/>
  <c r="BD145" i="7"/>
  <c r="BH145" i="7" s="1"/>
  <c r="CK98" i="7"/>
  <c r="BD98" i="7"/>
  <c r="BH98" i="7" s="1"/>
  <c r="CK138" i="7"/>
  <c r="BD138" i="7"/>
  <c r="BH138" i="7" s="1"/>
  <c r="CK99" i="7"/>
  <c r="BD99" i="7"/>
  <c r="BH99" i="7" s="1"/>
  <c r="GD111" i="7"/>
  <c r="GE111" i="7" s="1"/>
  <c r="BZ87" i="7"/>
  <c r="BJ87" i="7"/>
  <c r="BI87" i="7"/>
  <c r="CK78" i="7"/>
  <c r="BD78" i="7"/>
  <c r="BH78" i="7" s="1"/>
  <c r="CK82" i="7"/>
  <c r="BD82" i="7"/>
  <c r="BH82" i="7" s="1"/>
  <c r="GW117" i="7"/>
  <c r="GU117" i="7"/>
  <c r="HF117" i="7" s="1"/>
  <c r="CK146" i="7"/>
  <c r="BD146" i="7"/>
  <c r="BH146" i="7" s="1"/>
  <c r="BZ149" i="7"/>
  <c r="BM122" i="7"/>
  <c r="BZ128" i="7"/>
  <c r="BJ128" i="7"/>
  <c r="BI128" i="7"/>
  <c r="CK143" i="7"/>
  <c r="BD143" i="7"/>
  <c r="BH143" i="7" s="1"/>
  <c r="GG122" i="7"/>
  <c r="GF122" i="7"/>
  <c r="HA116" i="7"/>
  <c r="HC116" i="7" s="1"/>
  <c r="HD116" i="7" s="1"/>
  <c r="HJ116" i="7" s="1"/>
  <c r="CK147" i="7"/>
  <c r="BD147" i="7"/>
  <c r="BH147" i="7" s="1"/>
  <c r="CK81" i="7"/>
  <c r="BD81" i="7"/>
  <c r="BH81" i="7" s="1"/>
  <c r="BJ86" i="7"/>
  <c r="BZ86" i="7"/>
  <c r="BI86" i="7"/>
  <c r="CK102" i="7"/>
  <c r="BD102" i="7"/>
  <c r="BH102" i="7" s="1"/>
  <c r="CK141" i="7"/>
  <c r="BD141" i="7"/>
  <c r="BH141" i="7" s="1"/>
  <c r="CK144" i="7"/>
  <c r="BD144" i="7"/>
  <c r="BH144" i="7" s="1"/>
  <c r="BC87" i="7"/>
  <c r="FU87" i="7" s="1"/>
  <c r="FV87" i="7" s="1"/>
  <c r="CK140" i="7"/>
  <c r="BD140" i="7"/>
  <c r="BH140" i="7" s="1"/>
  <c r="GZ131" i="7"/>
  <c r="HB131" i="7" s="1"/>
  <c r="HG131" i="7" s="1"/>
  <c r="CK137" i="7"/>
  <c r="BD137" i="7"/>
  <c r="BH137" i="7" s="1"/>
  <c r="CK151" i="7"/>
  <c r="BD151" i="7"/>
  <c r="BH151" i="7" s="1"/>
  <c r="CK152" i="7"/>
  <c r="BD152" i="7"/>
  <c r="BH152" i="7" s="1"/>
  <c r="CK153" i="7"/>
  <c r="BD153" i="7"/>
  <c r="BH153" i="7" s="1"/>
  <c r="CK107" i="7"/>
  <c r="BD107" i="7"/>
  <c r="BH107" i="7" s="1"/>
  <c r="CK77" i="7"/>
  <c r="BD77" i="7"/>
  <c r="BH77" i="7" s="1"/>
  <c r="CK93" i="7"/>
  <c r="BD93" i="7"/>
  <c r="BH93" i="7" s="1"/>
  <c r="CK80" i="7"/>
  <c r="BD80" i="7"/>
  <c r="BH80" i="7" s="1"/>
  <c r="CK88" i="7"/>
  <c r="BD88" i="7"/>
  <c r="BH88" i="7" s="1"/>
  <c r="BI142" i="7" l="1"/>
  <c r="CA142" i="7" s="1"/>
  <c r="BJ142" i="7"/>
  <c r="GD86" i="7"/>
  <c r="GE86" i="7" s="1"/>
  <c r="BZ94" i="7"/>
  <c r="BC105" i="7"/>
  <c r="FU105" i="7" s="1"/>
  <c r="FV105" i="7" s="1"/>
  <c r="HR105" i="7" s="1"/>
  <c r="BI105" i="7"/>
  <c r="BK148" i="7"/>
  <c r="BL148" i="7" s="1"/>
  <c r="BJ105" i="7"/>
  <c r="BK92" i="7"/>
  <c r="BL92" i="7" s="1"/>
  <c r="BM92" i="7" s="1"/>
  <c r="BI149" i="7"/>
  <c r="BJ108" i="7"/>
  <c r="BK108" i="7" s="1"/>
  <c r="BL108" i="7" s="1"/>
  <c r="BC108" i="7"/>
  <c r="FU108" i="7" s="1"/>
  <c r="FV108" i="7" s="1"/>
  <c r="GD108" i="7" s="1"/>
  <c r="GE108" i="7" s="1"/>
  <c r="BZ108" i="7"/>
  <c r="BC77" i="7"/>
  <c r="FU77" i="7" s="1"/>
  <c r="FV77" i="7" s="1"/>
  <c r="BC94" i="7"/>
  <c r="FU94" i="7" s="1"/>
  <c r="FV94" i="7" s="1"/>
  <c r="HR94" i="7" s="1"/>
  <c r="BC82" i="7"/>
  <c r="FU82" i="7" s="1"/>
  <c r="FV82" i="7" s="1"/>
  <c r="HR82" i="7" s="1"/>
  <c r="BC142" i="7"/>
  <c r="FU142" i="7" s="1"/>
  <c r="FV142" i="7" s="1"/>
  <c r="BC102" i="7"/>
  <c r="FU102" i="7" s="1"/>
  <c r="FV102" i="7" s="1"/>
  <c r="BC147" i="7"/>
  <c r="FU147" i="7" s="1"/>
  <c r="FV147" i="7" s="1"/>
  <c r="HR147" i="7" s="1"/>
  <c r="BI94" i="7"/>
  <c r="CA94" i="7" s="1"/>
  <c r="HJ119" i="7"/>
  <c r="BC140" i="7"/>
  <c r="FU140" i="7" s="1"/>
  <c r="FV140" i="7" s="1"/>
  <c r="GD140" i="7" s="1"/>
  <c r="GE140" i="7" s="1"/>
  <c r="BC143" i="7"/>
  <c r="FU143" i="7" s="1"/>
  <c r="FV143" i="7" s="1"/>
  <c r="BC109" i="7"/>
  <c r="FU109" i="7" s="1"/>
  <c r="FV109" i="7" s="1"/>
  <c r="HR109" i="7" s="1"/>
  <c r="BC151" i="7"/>
  <c r="FU151" i="7" s="1"/>
  <c r="FV151" i="7" s="1"/>
  <c r="HR151" i="7" s="1"/>
  <c r="BC145" i="7"/>
  <c r="FU145" i="7" s="1"/>
  <c r="FV145" i="7" s="1"/>
  <c r="HR145" i="7" s="1"/>
  <c r="HZ117" i="7"/>
  <c r="IA117" i="7" s="1"/>
  <c r="IF117" i="7" s="1"/>
  <c r="BC84" i="7"/>
  <c r="FU84" i="7" s="1"/>
  <c r="FV84" i="7" s="1"/>
  <c r="HR84" i="7" s="1"/>
  <c r="BC150" i="7"/>
  <c r="FU150" i="7" s="1"/>
  <c r="FV150" i="7" s="1"/>
  <c r="GD150" i="7" s="1"/>
  <c r="GE150" i="7" s="1"/>
  <c r="GM125" i="7"/>
  <c r="HU125" i="7" s="1"/>
  <c r="BC95" i="7"/>
  <c r="FU95" i="7" s="1"/>
  <c r="FV95" i="7" s="1"/>
  <c r="BC88" i="7"/>
  <c r="FU88" i="7" s="1"/>
  <c r="FV88" i="7" s="1"/>
  <c r="HR88" i="7" s="1"/>
  <c r="BC90" i="7"/>
  <c r="FU90" i="7" s="1"/>
  <c r="FV90" i="7" s="1"/>
  <c r="HR90" i="7" s="1"/>
  <c r="BC112" i="7"/>
  <c r="FU112" i="7" s="1"/>
  <c r="FV112" i="7" s="1"/>
  <c r="BC139" i="7"/>
  <c r="FU139" i="7" s="1"/>
  <c r="FV139" i="7" s="1"/>
  <c r="HR139" i="7" s="1"/>
  <c r="BC156" i="7"/>
  <c r="FU156" i="7" s="1"/>
  <c r="FV156" i="7" s="1"/>
  <c r="HR156" i="7" s="1"/>
  <c r="BC154" i="7"/>
  <c r="FU154" i="7" s="1"/>
  <c r="FV154" i="7" s="1"/>
  <c r="GD154" i="7" s="1"/>
  <c r="GE154" i="7" s="1"/>
  <c r="BC144" i="7"/>
  <c r="FU144" i="7" s="1"/>
  <c r="FV144" i="7" s="1"/>
  <c r="HR144" i="7" s="1"/>
  <c r="HI131" i="7"/>
  <c r="HI132" i="7"/>
  <c r="BJ80" i="7"/>
  <c r="BZ80" i="7"/>
  <c r="BI80" i="7"/>
  <c r="CA128" i="7"/>
  <c r="BK128" i="7"/>
  <c r="BL128" i="7" s="1"/>
  <c r="BZ138" i="7"/>
  <c r="BJ138" i="7"/>
  <c r="BI138" i="7"/>
  <c r="GD145" i="7"/>
  <c r="GE145" i="7" s="1"/>
  <c r="BJ155" i="7"/>
  <c r="BZ155" i="7"/>
  <c r="BI155" i="7"/>
  <c r="BJ103" i="7"/>
  <c r="BZ103" i="7"/>
  <c r="BI103" i="7"/>
  <c r="GZ117" i="7"/>
  <c r="HB117" i="7" s="1"/>
  <c r="HG117" i="7" s="1"/>
  <c r="CA85" i="7"/>
  <c r="BK85" i="7"/>
  <c r="BL85" i="7" s="1"/>
  <c r="BJ97" i="7"/>
  <c r="BZ97" i="7"/>
  <c r="BI97" i="7"/>
  <c r="BC80" i="7"/>
  <c r="FU80" i="7" s="1"/>
  <c r="FV80" i="7" s="1"/>
  <c r="BJ77" i="7"/>
  <c r="BZ77" i="7"/>
  <c r="BI77" i="7"/>
  <c r="BC107" i="7"/>
  <c r="FU107" i="7" s="1"/>
  <c r="FV107" i="7" s="1"/>
  <c r="BZ151" i="7"/>
  <c r="BJ151" i="7"/>
  <c r="BI151" i="7"/>
  <c r="BJ140" i="7"/>
  <c r="BZ140" i="7"/>
  <c r="BI140" i="7"/>
  <c r="CA86" i="7"/>
  <c r="BK86" i="7"/>
  <c r="BL86" i="7" s="1"/>
  <c r="BC146" i="7"/>
  <c r="FU146" i="7" s="1"/>
  <c r="FV146" i="7" s="1"/>
  <c r="BC78" i="7"/>
  <c r="FU78" i="7" s="1"/>
  <c r="FV78" i="7" s="1"/>
  <c r="BC138" i="7"/>
  <c r="FU138" i="7" s="1"/>
  <c r="FV138" i="7" s="1"/>
  <c r="BJ90" i="7"/>
  <c r="BZ90" i="7"/>
  <c r="BI90" i="7"/>
  <c r="GF148" i="7"/>
  <c r="GG148" i="7"/>
  <c r="BC155" i="7"/>
  <c r="FU155" i="7" s="1"/>
  <c r="FV155" i="7" s="1"/>
  <c r="HV124" i="7"/>
  <c r="HZ124" i="7" s="1"/>
  <c r="GX124" i="7"/>
  <c r="BC103" i="7"/>
  <c r="FU103" i="7" s="1"/>
  <c r="FV103" i="7" s="1"/>
  <c r="BZ150" i="7"/>
  <c r="BJ150" i="7"/>
  <c r="BI150" i="7"/>
  <c r="BC97" i="7"/>
  <c r="FU97" i="7" s="1"/>
  <c r="FV97" i="7" s="1"/>
  <c r="CK106" i="7"/>
  <c r="BD106" i="7"/>
  <c r="BH106" i="7" s="1"/>
  <c r="BZ146" i="7"/>
  <c r="BJ146" i="7"/>
  <c r="BI146" i="7"/>
  <c r="HQ122" i="7"/>
  <c r="CA87" i="7"/>
  <c r="BK87" i="7"/>
  <c r="BL87" i="7" s="1"/>
  <c r="HA131" i="7"/>
  <c r="HC131" i="7" s="1"/>
  <c r="HD131" i="7" s="1"/>
  <c r="HJ132" i="7" s="1"/>
  <c r="BZ104" i="7"/>
  <c r="BJ104" i="7"/>
  <c r="BI104" i="7"/>
  <c r="BZ83" i="7"/>
  <c r="BJ83" i="7"/>
  <c r="BI83" i="7"/>
  <c r="BJ100" i="7"/>
  <c r="BZ100" i="7"/>
  <c r="BI100" i="7"/>
  <c r="CK79" i="7"/>
  <c r="BD79" i="7"/>
  <c r="BH79" i="7" s="1"/>
  <c r="GS124" i="7"/>
  <c r="BJ107" i="7"/>
  <c r="BZ107" i="7"/>
  <c r="BI107" i="7"/>
  <c r="HR77" i="7"/>
  <c r="GD77" i="7"/>
  <c r="GE77" i="7" s="1"/>
  <c r="BJ141" i="7"/>
  <c r="BZ141" i="7"/>
  <c r="BI141" i="7"/>
  <c r="CA111" i="7"/>
  <c r="BK111" i="7"/>
  <c r="BL111" i="7" s="1"/>
  <c r="BC141" i="7"/>
  <c r="FU141" i="7" s="1"/>
  <c r="FV141" i="7" s="1"/>
  <c r="BJ137" i="7"/>
  <c r="BZ137" i="7"/>
  <c r="BI137" i="7"/>
  <c r="BZ81" i="7"/>
  <c r="BJ81" i="7"/>
  <c r="BI81" i="7"/>
  <c r="GM122" i="7"/>
  <c r="GV122" i="7" s="1"/>
  <c r="HE122" i="7" s="1"/>
  <c r="BZ98" i="7"/>
  <c r="BJ98" i="7"/>
  <c r="BI98" i="7"/>
  <c r="BZ110" i="7"/>
  <c r="BJ110" i="7"/>
  <c r="BI110" i="7"/>
  <c r="BC104" i="7"/>
  <c r="FU104" i="7" s="1"/>
  <c r="FV104" i="7" s="1"/>
  <c r="GF92" i="7"/>
  <c r="GG92" i="7"/>
  <c r="BC83" i="7"/>
  <c r="FU83" i="7" s="1"/>
  <c r="FV83" i="7" s="1"/>
  <c r="HR85" i="7"/>
  <c r="GD85" i="7"/>
  <c r="GE85" i="7" s="1"/>
  <c r="HQ125" i="7"/>
  <c r="BC100" i="7"/>
  <c r="FU100" i="7" s="1"/>
  <c r="FV100" i="7" s="1"/>
  <c r="BZ91" i="7"/>
  <c r="BJ91" i="7"/>
  <c r="BI91" i="7"/>
  <c r="CK96" i="7"/>
  <c r="BD96" i="7"/>
  <c r="BH96" i="7" s="1"/>
  <c r="BZ93" i="7"/>
  <c r="BJ93" i="7"/>
  <c r="BI93" i="7"/>
  <c r="BZ78" i="7"/>
  <c r="BJ78" i="7"/>
  <c r="BI78" i="7"/>
  <c r="HR140" i="7"/>
  <c r="BJ99" i="7"/>
  <c r="BZ99" i="7"/>
  <c r="BI99" i="7"/>
  <c r="BZ153" i="7"/>
  <c r="BJ153" i="7"/>
  <c r="BI153" i="7"/>
  <c r="HH117" i="7"/>
  <c r="HH118" i="7"/>
  <c r="BC99" i="7"/>
  <c r="FU99" i="7" s="1"/>
  <c r="FV99" i="7" s="1"/>
  <c r="BC153" i="7"/>
  <c r="FU153" i="7" s="1"/>
  <c r="FV153" i="7" s="1"/>
  <c r="BJ88" i="7"/>
  <c r="BZ88" i="7"/>
  <c r="BI88" i="7"/>
  <c r="GF86" i="7"/>
  <c r="GG86" i="7"/>
  <c r="BC137" i="7"/>
  <c r="FU137" i="7" s="1"/>
  <c r="FV137" i="7" s="1"/>
  <c r="BC81" i="7"/>
  <c r="FU81" i="7" s="1"/>
  <c r="FV81" i="7" s="1"/>
  <c r="BZ143" i="7"/>
  <c r="BJ143" i="7"/>
  <c r="BI143" i="7"/>
  <c r="CA149" i="7"/>
  <c r="BK149" i="7"/>
  <c r="BL149" i="7" s="1"/>
  <c r="BJ82" i="7"/>
  <c r="BZ82" i="7"/>
  <c r="BI82" i="7"/>
  <c r="CA105" i="7"/>
  <c r="BC98" i="7"/>
  <c r="FU98" i="7" s="1"/>
  <c r="FV98" i="7" s="1"/>
  <c r="BZ95" i="7"/>
  <c r="BJ95" i="7"/>
  <c r="BI95" i="7"/>
  <c r="BC110" i="7"/>
  <c r="FU110" i="7" s="1"/>
  <c r="FV110" i="7" s="1"/>
  <c r="BJ112" i="7"/>
  <c r="BZ112" i="7"/>
  <c r="BI112" i="7"/>
  <c r="BJ109" i="7"/>
  <c r="BZ109" i="7"/>
  <c r="BI109" i="7"/>
  <c r="BJ84" i="7"/>
  <c r="BZ84" i="7"/>
  <c r="BI84" i="7"/>
  <c r="BC91" i="7"/>
  <c r="FU91" i="7" s="1"/>
  <c r="FV91" i="7" s="1"/>
  <c r="CK75" i="7"/>
  <c r="BD75" i="7"/>
  <c r="BH75" i="7" s="1"/>
  <c r="GD87" i="7"/>
  <c r="GE87" i="7" s="1"/>
  <c r="HR87" i="7"/>
  <c r="BJ102" i="7"/>
  <c r="BZ102" i="7"/>
  <c r="BI102" i="7"/>
  <c r="HR143" i="7"/>
  <c r="GD143" i="7"/>
  <c r="GE143" i="7" s="1"/>
  <c r="HR95" i="7"/>
  <c r="GD95" i="7"/>
  <c r="GE95" i="7" s="1"/>
  <c r="HR112" i="7"/>
  <c r="GD112" i="7"/>
  <c r="GE112" i="7" s="1"/>
  <c r="CA108" i="7"/>
  <c r="BZ139" i="7"/>
  <c r="BJ139" i="7"/>
  <c r="BI139" i="7"/>
  <c r="HR149" i="7"/>
  <c r="GD149" i="7"/>
  <c r="GE149" i="7" s="1"/>
  <c r="BM125" i="7"/>
  <c r="BZ76" i="7"/>
  <c r="BJ76" i="7"/>
  <c r="BI76" i="7"/>
  <c r="GD84" i="7"/>
  <c r="GE84" i="7" s="1"/>
  <c r="BM148" i="7"/>
  <c r="CK89" i="7"/>
  <c r="BD89" i="7"/>
  <c r="BH89" i="7" s="1"/>
  <c r="BZ152" i="7"/>
  <c r="BJ152" i="7"/>
  <c r="BI152" i="7"/>
  <c r="BC93" i="7"/>
  <c r="FU93" i="7" s="1"/>
  <c r="FV93" i="7" s="1"/>
  <c r="BC152" i="7"/>
  <c r="FU152" i="7" s="1"/>
  <c r="FV152" i="7" s="1"/>
  <c r="BJ144" i="7"/>
  <c r="BZ144" i="7"/>
  <c r="BI144" i="7"/>
  <c r="HR102" i="7"/>
  <c r="GD102" i="7"/>
  <c r="GE102" i="7" s="1"/>
  <c r="BZ147" i="7"/>
  <c r="BJ147" i="7"/>
  <c r="BI147" i="7"/>
  <c r="GF111" i="7"/>
  <c r="GG111" i="7"/>
  <c r="BZ145" i="7"/>
  <c r="BJ145" i="7"/>
  <c r="BI145" i="7"/>
  <c r="HR128" i="7"/>
  <c r="GD128" i="7"/>
  <c r="GE128" i="7" s="1"/>
  <c r="BJ156" i="7"/>
  <c r="BI156" i="7"/>
  <c r="BZ156" i="7"/>
  <c r="BC76" i="7"/>
  <c r="FU76" i="7" s="1"/>
  <c r="FV76" i="7" s="1"/>
  <c r="BJ154" i="7"/>
  <c r="BZ154" i="7"/>
  <c r="BI154" i="7"/>
  <c r="BK105" i="7" l="1"/>
  <c r="BL105" i="7" s="1"/>
  <c r="GD105" i="7"/>
  <c r="GE105" i="7" s="1"/>
  <c r="GF105" i="7" s="1"/>
  <c r="BK142" i="7"/>
  <c r="BL142" i="7" s="1"/>
  <c r="HR108" i="7"/>
  <c r="GD109" i="7"/>
  <c r="GE109" i="7" s="1"/>
  <c r="GG109" i="7" s="1"/>
  <c r="GD82" i="7"/>
  <c r="GE82" i="7" s="1"/>
  <c r="GD88" i="7"/>
  <c r="GE88" i="7" s="1"/>
  <c r="GG88" i="7" s="1"/>
  <c r="GD90" i="7"/>
  <c r="GE90" i="7" s="1"/>
  <c r="GF90" i="7" s="1"/>
  <c r="GD151" i="7"/>
  <c r="GE151" i="7" s="1"/>
  <c r="GF151" i="7" s="1"/>
  <c r="GD139" i="7"/>
  <c r="GE139" i="7" s="1"/>
  <c r="GG139" i="7" s="1"/>
  <c r="GD147" i="7"/>
  <c r="GE147" i="7" s="1"/>
  <c r="GF147" i="7" s="1"/>
  <c r="BC75" i="7"/>
  <c r="FU75" i="7" s="1"/>
  <c r="FV75" i="7" s="1"/>
  <c r="HR75" i="7" s="1"/>
  <c r="GD94" i="7"/>
  <c r="GE94" i="7" s="1"/>
  <c r="BK94" i="7"/>
  <c r="BL94" i="7" s="1"/>
  <c r="BM94" i="7" s="1"/>
  <c r="HR154" i="7"/>
  <c r="HR142" i="7"/>
  <c r="GD142" i="7"/>
  <c r="GE142" i="7" s="1"/>
  <c r="BC89" i="7"/>
  <c r="FU89" i="7" s="1"/>
  <c r="FV89" i="7" s="1"/>
  <c r="HR89" i="7" s="1"/>
  <c r="GM148" i="7"/>
  <c r="GO148" i="7" s="1"/>
  <c r="IE117" i="7"/>
  <c r="HR150" i="7"/>
  <c r="GD156" i="7"/>
  <c r="GE156" i="7" s="1"/>
  <c r="GG156" i="7" s="1"/>
  <c r="BC79" i="7"/>
  <c r="FU79" i="7" s="1"/>
  <c r="FV79" i="7" s="1"/>
  <c r="HR79" i="7" s="1"/>
  <c r="BC96" i="7"/>
  <c r="FU96" i="7" s="1"/>
  <c r="FV96" i="7" s="1"/>
  <c r="HR96" i="7" s="1"/>
  <c r="GO125" i="7"/>
  <c r="GS125" i="7" s="1"/>
  <c r="GU125" i="7" s="1"/>
  <c r="HF125" i="7" s="1"/>
  <c r="HA117" i="7"/>
  <c r="HC117" i="7" s="1"/>
  <c r="HD117" i="7" s="1"/>
  <c r="HJ117" i="7" s="1"/>
  <c r="GV125" i="7"/>
  <c r="HE125" i="7" s="1"/>
  <c r="GM92" i="7"/>
  <c r="GV92" i="7" s="1"/>
  <c r="HE92" i="7" s="1"/>
  <c r="GD144" i="7"/>
  <c r="GE144" i="7" s="1"/>
  <c r="GG144" i="7" s="1"/>
  <c r="GM86" i="7"/>
  <c r="GO86" i="7" s="1"/>
  <c r="GS86" i="7" s="1"/>
  <c r="GM111" i="7"/>
  <c r="HU111" i="7" s="1"/>
  <c r="HI117" i="7"/>
  <c r="HI118" i="7"/>
  <c r="HQ148" i="7"/>
  <c r="CA77" i="7"/>
  <c r="BK77" i="7"/>
  <c r="BL77" i="7" s="1"/>
  <c r="CA97" i="7"/>
  <c r="BK97" i="7"/>
  <c r="BL97" i="7" s="1"/>
  <c r="CA138" i="7"/>
  <c r="BK138" i="7"/>
  <c r="BL138" i="7" s="1"/>
  <c r="HR104" i="7"/>
  <c r="GD104" i="7"/>
  <c r="GE104" i="7" s="1"/>
  <c r="CA100" i="7"/>
  <c r="BK100" i="7"/>
  <c r="BL100" i="7" s="1"/>
  <c r="BM86" i="7"/>
  <c r="GF112" i="7"/>
  <c r="GG112" i="7"/>
  <c r="CA154" i="7"/>
  <c r="BK154" i="7"/>
  <c r="BL154" i="7" s="1"/>
  <c r="CA88" i="7"/>
  <c r="BK88" i="7"/>
  <c r="BL88" i="7" s="1"/>
  <c r="CA78" i="7"/>
  <c r="BK78" i="7"/>
  <c r="BL78" i="7" s="1"/>
  <c r="HR100" i="7"/>
  <c r="GD100" i="7"/>
  <c r="GE100" i="7" s="1"/>
  <c r="CA110" i="7"/>
  <c r="BK110" i="7"/>
  <c r="BL110" i="7" s="1"/>
  <c r="CA81" i="7"/>
  <c r="BK81" i="7"/>
  <c r="BL81" i="7" s="1"/>
  <c r="HR141" i="7"/>
  <c r="GD141" i="7"/>
  <c r="GE141" i="7" s="1"/>
  <c r="CA83" i="7"/>
  <c r="BK83" i="7"/>
  <c r="BL83" i="7" s="1"/>
  <c r="HR103" i="7"/>
  <c r="GD103" i="7"/>
  <c r="GE103" i="7" s="1"/>
  <c r="HR152" i="7"/>
  <c r="GD152" i="7"/>
  <c r="GE152" i="7" s="1"/>
  <c r="CA143" i="7"/>
  <c r="BK143" i="7"/>
  <c r="BL143" i="7" s="1"/>
  <c r="CA137" i="7"/>
  <c r="BK137" i="7"/>
  <c r="BL137" i="7" s="1"/>
  <c r="HR107" i="7"/>
  <c r="GD107" i="7"/>
  <c r="GE107" i="7" s="1"/>
  <c r="CA145" i="7"/>
  <c r="BK145" i="7"/>
  <c r="BL145" i="7" s="1"/>
  <c r="BM105" i="7"/>
  <c r="CA93" i="7"/>
  <c r="BK93" i="7"/>
  <c r="BL93" i="7" s="1"/>
  <c r="GF77" i="7"/>
  <c r="GG77" i="7"/>
  <c r="BM87" i="7"/>
  <c r="CA90" i="7"/>
  <c r="BK90" i="7"/>
  <c r="BL90" i="7" s="1"/>
  <c r="CA84" i="7"/>
  <c r="BK84" i="7"/>
  <c r="BL84" i="7" s="1"/>
  <c r="HR81" i="7"/>
  <c r="GD81" i="7"/>
  <c r="GE81" i="7" s="1"/>
  <c r="GF84" i="7"/>
  <c r="GG84" i="7"/>
  <c r="HR110" i="7"/>
  <c r="GD110" i="7"/>
  <c r="GE110" i="7" s="1"/>
  <c r="CA153" i="7"/>
  <c r="BK153" i="7"/>
  <c r="BL153" i="7" s="1"/>
  <c r="CA99" i="7"/>
  <c r="BK99" i="7"/>
  <c r="BL99" i="7" s="1"/>
  <c r="BM111" i="7"/>
  <c r="GW124" i="7"/>
  <c r="GU124" i="7"/>
  <c r="HF124" i="7" s="1"/>
  <c r="BZ106" i="7"/>
  <c r="BJ106" i="7"/>
  <c r="BI106" i="7"/>
  <c r="HR80" i="7"/>
  <c r="GD80" i="7"/>
  <c r="GE80" i="7" s="1"/>
  <c r="BM85" i="7"/>
  <c r="GG108" i="7"/>
  <c r="GF108" i="7"/>
  <c r="HJ131" i="7"/>
  <c r="CA112" i="7"/>
  <c r="BK112" i="7"/>
  <c r="BL112" i="7" s="1"/>
  <c r="CA107" i="7"/>
  <c r="BK107" i="7"/>
  <c r="BL107" i="7" s="1"/>
  <c r="GF82" i="7"/>
  <c r="GG82" i="7"/>
  <c r="CA140" i="7"/>
  <c r="BK140" i="7"/>
  <c r="BL140" i="7" s="1"/>
  <c r="GF102" i="7"/>
  <c r="GG102" i="7"/>
  <c r="CA139" i="7"/>
  <c r="BK139" i="7"/>
  <c r="BL139" i="7" s="1"/>
  <c r="CA82" i="7"/>
  <c r="BK82" i="7"/>
  <c r="BL82" i="7" s="1"/>
  <c r="HR76" i="7"/>
  <c r="GD76" i="7"/>
  <c r="GE76" i="7" s="1"/>
  <c r="HQ111" i="7"/>
  <c r="CA144" i="7"/>
  <c r="BK144" i="7"/>
  <c r="BL144" i="7" s="1"/>
  <c r="BJ89" i="7"/>
  <c r="BZ89" i="7"/>
  <c r="BI89" i="7"/>
  <c r="GG95" i="7"/>
  <c r="GF95" i="7"/>
  <c r="GF143" i="7"/>
  <c r="GG143" i="7"/>
  <c r="CA95" i="7"/>
  <c r="BK95" i="7"/>
  <c r="BL95" i="7" s="1"/>
  <c r="GG105" i="7"/>
  <c r="BJ96" i="7"/>
  <c r="BZ96" i="7"/>
  <c r="BI96" i="7"/>
  <c r="HR83" i="7"/>
  <c r="GD83" i="7"/>
  <c r="GE83" i="7" s="1"/>
  <c r="BZ79" i="7"/>
  <c r="BJ79" i="7"/>
  <c r="BI79" i="7"/>
  <c r="GF150" i="7"/>
  <c r="GG150" i="7"/>
  <c r="CA146" i="7"/>
  <c r="BK146" i="7"/>
  <c r="BL146" i="7" s="1"/>
  <c r="BC106" i="7"/>
  <c r="FU106" i="7" s="1"/>
  <c r="FV106" i="7" s="1"/>
  <c r="GY124" i="7"/>
  <c r="HR138" i="7"/>
  <c r="GD138" i="7"/>
  <c r="GE138" i="7" s="1"/>
  <c r="CA151" i="7"/>
  <c r="BK151" i="7"/>
  <c r="BL151" i="7" s="1"/>
  <c r="GF154" i="7"/>
  <c r="GG154" i="7"/>
  <c r="BM128" i="7"/>
  <c r="HR98" i="7"/>
  <c r="GD98" i="7"/>
  <c r="GE98" i="7" s="1"/>
  <c r="GG85" i="7"/>
  <c r="GF85" i="7"/>
  <c r="CA150" i="7"/>
  <c r="BK150" i="7"/>
  <c r="BL150" i="7" s="1"/>
  <c r="CA103" i="7"/>
  <c r="BK103" i="7"/>
  <c r="BL103" i="7" s="1"/>
  <c r="GG90" i="7"/>
  <c r="GG151" i="7"/>
  <c r="CA152" i="7"/>
  <c r="BK152" i="7"/>
  <c r="BL152" i="7" s="1"/>
  <c r="HR91" i="7"/>
  <c r="GD91" i="7"/>
  <c r="GE91" i="7" s="1"/>
  <c r="HU122" i="7"/>
  <c r="GO122" i="7"/>
  <c r="GS122" i="7" s="1"/>
  <c r="GF128" i="7"/>
  <c r="GG128" i="7"/>
  <c r="BM108" i="7"/>
  <c r="CA109" i="7"/>
  <c r="BK109" i="7"/>
  <c r="BL109" i="7" s="1"/>
  <c r="BM149" i="7"/>
  <c r="HR153" i="7"/>
  <c r="GD153" i="7"/>
  <c r="GE153" i="7" s="1"/>
  <c r="CA98" i="7"/>
  <c r="BK98" i="7"/>
  <c r="BL98" i="7" s="1"/>
  <c r="CA141" i="7"/>
  <c r="BK141" i="7"/>
  <c r="BL141" i="7" s="1"/>
  <c r="GD79" i="7"/>
  <c r="GE79" i="7" s="1"/>
  <c r="CA104" i="7"/>
  <c r="BK104" i="7"/>
  <c r="BL104" i="7" s="1"/>
  <c r="IA124" i="7"/>
  <c r="IF124" i="7" s="1"/>
  <c r="IE124" i="7"/>
  <c r="HR78" i="7"/>
  <c r="GD78" i="7"/>
  <c r="GE78" i="7" s="1"/>
  <c r="CA102" i="7"/>
  <c r="BK102" i="7"/>
  <c r="BL102" i="7" s="1"/>
  <c r="HR137" i="7"/>
  <c r="GD137" i="7"/>
  <c r="GE137" i="7" s="1"/>
  <c r="CA91" i="7"/>
  <c r="BK91" i="7"/>
  <c r="BL91" i="7" s="1"/>
  <c r="HR93" i="7"/>
  <c r="GD93" i="7"/>
  <c r="GE93" i="7" s="1"/>
  <c r="BM142" i="7"/>
  <c r="CA76" i="7"/>
  <c r="BK76" i="7"/>
  <c r="BL76" i="7" s="1"/>
  <c r="HQ86" i="7"/>
  <c r="CA147" i="7"/>
  <c r="BK147" i="7"/>
  <c r="BL147" i="7" s="1"/>
  <c r="GF87" i="7"/>
  <c r="GG87" i="7"/>
  <c r="CA156" i="7"/>
  <c r="BK156" i="7"/>
  <c r="BL156" i="7" s="1"/>
  <c r="GF149" i="7"/>
  <c r="GG149" i="7"/>
  <c r="BZ75" i="7"/>
  <c r="BJ75" i="7"/>
  <c r="BI75" i="7"/>
  <c r="GD99" i="7"/>
  <c r="GE99" i="7" s="1"/>
  <c r="HR99" i="7"/>
  <c r="GF140" i="7"/>
  <c r="GG140" i="7"/>
  <c r="HQ92" i="7"/>
  <c r="HR97" i="7"/>
  <c r="GD97" i="7"/>
  <c r="GE97" i="7" s="1"/>
  <c r="HR155" i="7"/>
  <c r="GD155" i="7"/>
  <c r="GE155" i="7" s="1"/>
  <c r="HR146" i="7"/>
  <c r="GD146" i="7"/>
  <c r="GE146" i="7" s="1"/>
  <c r="CA155" i="7"/>
  <c r="BK155" i="7"/>
  <c r="BL155" i="7" s="1"/>
  <c r="GF145" i="7"/>
  <c r="GG145" i="7"/>
  <c r="CA80" i="7"/>
  <c r="BK80" i="7"/>
  <c r="BL80" i="7" s="1"/>
  <c r="GF88" i="7" l="1"/>
  <c r="GF109" i="7"/>
  <c r="GG147" i="7"/>
  <c r="GD96" i="7"/>
  <c r="GE96" i="7" s="1"/>
  <c r="GF139" i="7"/>
  <c r="GF156" i="7"/>
  <c r="GM156" i="7" s="1"/>
  <c r="GV156" i="7" s="1"/>
  <c r="HE156" i="7" s="1"/>
  <c r="HE5" i="7" s="1"/>
  <c r="GW125" i="7"/>
  <c r="GD75" i="7"/>
  <c r="GE75" i="7" s="1"/>
  <c r="GD89" i="7"/>
  <c r="GE89" i="7" s="1"/>
  <c r="GF94" i="7"/>
  <c r="GG94" i="7"/>
  <c r="GO92" i="7"/>
  <c r="GS92" i="7" s="1"/>
  <c r="GW92" i="7" s="1"/>
  <c r="HU92" i="7"/>
  <c r="GG142" i="7"/>
  <c r="GF142" i="7"/>
  <c r="GV86" i="7"/>
  <c r="HE86" i="7" s="1"/>
  <c r="HU148" i="7"/>
  <c r="GV148" i="7"/>
  <c r="HE148" i="7" s="1"/>
  <c r="HJ118" i="7"/>
  <c r="GX125" i="7"/>
  <c r="GY125" i="7" s="1"/>
  <c r="HV125" i="7"/>
  <c r="HZ125" i="7" s="1"/>
  <c r="IE125" i="7" s="1"/>
  <c r="GV111" i="7"/>
  <c r="HE111" i="7" s="1"/>
  <c r="GO111" i="7"/>
  <c r="GS111" i="7" s="1"/>
  <c r="GF144" i="7"/>
  <c r="GM144" i="7" s="1"/>
  <c r="GO144" i="7" s="1"/>
  <c r="GS144" i="7" s="1"/>
  <c r="GM84" i="7"/>
  <c r="GO84" i="7" s="1"/>
  <c r="GM128" i="7"/>
  <c r="HU128" i="7" s="1"/>
  <c r="GM147" i="7"/>
  <c r="HU147" i="7" s="1"/>
  <c r="GM102" i="7"/>
  <c r="GO102" i="7" s="1"/>
  <c r="GS102" i="7" s="1"/>
  <c r="HU86" i="7"/>
  <c r="GM109" i="7"/>
  <c r="GO109" i="7" s="1"/>
  <c r="GS109" i="7" s="1"/>
  <c r="GM90" i="7"/>
  <c r="GO90" i="7" s="1"/>
  <c r="GS90" i="7" s="1"/>
  <c r="GM108" i="7"/>
  <c r="GO108" i="7" s="1"/>
  <c r="GS108" i="7" s="1"/>
  <c r="GM151" i="7"/>
  <c r="GO151" i="7" s="1"/>
  <c r="GS151" i="7" s="1"/>
  <c r="GM154" i="7"/>
  <c r="HU154" i="7" s="1"/>
  <c r="GM87" i="7"/>
  <c r="GO87" i="7" s="1"/>
  <c r="GM150" i="7"/>
  <c r="GM140" i="7"/>
  <c r="HU140" i="7" s="1"/>
  <c r="GM139" i="7"/>
  <c r="GV139" i="7" s="1"/>
  <c r="HE139" i="7" s="1"/>
  <c r="GM77" i="7"/>
  <c r="GV77" i="7" s="1"/>
  <c r="HE77" i="7" s="1"/>
  <c r="GM88" i="7"/>
  <c r="GO88" i="7" s="1"/>
  <c r="GG137" i="7"/>
  <c r="GF137" i="7"/>
  <c r="BM152" i="7"/>
  <c r="HR106" i="7"/>
  <c r="GD106" i="7"/>
  <c r="GE106" i="7" s="1"/>
  <c r="HQ145" i="7"/>
  <c r="GF78" i="7"/>
  <c r="GG78" i="7"/>
  <c r="BM155" i="7"/>
  <c r="GG99" i="7"/>
  <c r="GF99" i="7"/>
  <c r="BM156" i="7"/>
  <c r="BM147" i="7"/>
  <c r="GG79" i="7"/>
  <c r="GF79" i="7"/>
  <c r="GF153" i="7"/>
  <c r="GG153" i="7"/>
  <c r="GG91" i="7"/>
  <c r="GF91" i="7"/>
  <c r="CA96" i="7"/>
  <c r="BK96" i="7"/>
  <c r="BL96" i="7" s="1"/>
  <c r="HQ143" i="7"/>
  <c r="GM82" i="7"/>
  <c r="GV82" i="7" s="1"/>
  <c r="HE82" i="7" s="1"/>
  <c r="GF80" i="7"/>
  <c r="GG80" i="7"/>
  <c r="GW122" i="7"/>
  <c r="GU122" i="7"/>
  <c r="HF122" i="7" s="1"/>
  <c r="HH125" i="7"/>
  <c r="HH126" i="7"/>
  <c r="HQ112" i="7"/>
  <c r="HQ85" i="7"/>
  <c r="HQ95" i="7"/>
  <c r="BM139" i="7"/>
  <c r="HQ82" i="7"/>
  <c r="HQ108" i="7"/>
  <c r="HH124" i="7"/>
  <c r="HQ77" i="7"/>
  <c r="GF107" i="7"/>
  <c r="GG107" i="7"/>
  <c r="GG75" i="7"/>
  <c r="GF75" i="7"/>
  <c r="GF103" i="7"/>
  <c r="GG103" i="7"/>
  <c r="BM88" i="7"/>
  <c r="BM138" i="7"/>
  <c r="HQ84" i="7"/>
  <c r="GF141" i="7"/>
  <c r="GG141" i="7"/>
  <c r="BM154" i="7"/>
  <c r="BM100" i="7"/>
  <c r="BM97" i="7"/>
  <c r="HQ88" i="7"/>
  <c r="GM85" i="7"/>
  <c r="GV85" i="7" s="1"/>
  <c r="HE85" i="7" s="1"/>
  <c r="HQ154" i="7"/>
  <c r="GM95" i="7"/>
  <c r="GV95" i="7" s="1"/>
  <c r="HE95" i="7" s="1"/>
  <c r="BM99" i="7"/>
  <c r="BM84" i="7"/>
  <c r="GG97" i="7"/>
  <c r="GF97" i="7"/>
  <c r="BM146" i="7"/>
  <c r="CA89" i="7"/>
  <c r="BK89" i="7"/>
  <c r="BL89" i="7" s="1"/>
  <c r="HU102" i="7"/>
  <c r="BM80" i="7"/>
  <c r="HQ140" i="7"/>
  <c r="GM149" i="7"/>
  <c r="GV149" i="7" s="1"/>
  <c r="HE149" i="7" s="1"/>
  <c r="GW86" i="7"/>
  <c r="GU86" i="7"/>
  <c r="HF86" i="7" s="1"/>
  <c r="BM102" i="7"/>
  <c r="HV122" i="7"/>
  <c r="HZ122" i="7" s="1"/>
  <c r="GX122" i="7"/>
  <c r="GY122" i="7" s="1"/>
  <c r="HQ151" i="7"/>
  <c r="HQ139" i="7"/>
  <c r="GF98" i="7"/>
  <c r="GG98" i="7"/>
  <c r="GM105" i="7"/>
  <c r="GV105" i="7" s="1"/>
  <c r="HE105" i="7" s="1"/>
  <c r="GF76" i="7"/>
  <c r="GG76" i="7"/>
  <c r="HQ102" i="7"/>
  <c r="BM112" i="7"/>
  <c r="HQ156" i="7"/>
  <c r="GZ124" i="7"/>
  <c r="HB124" i="7" s="1"/>
  <c r="HG124" i="7" s="1"/>
  <c r="HI124" i="7" s="1"/>
  <c r="BM153" i="7"/>
  <c r="BM90" i="7"/>
  <c r="BM137" i="7"/>
  <c r="BM83" i="7"/>
  <c r="GF93" i="7"/>
  <c r="GG93" i="7"/>
  <c r="BM141" i="7"/>
  <c r="HQ128" i="7"/>
  <c r="BM103" i="7"/>
  <c r="GG83" i="7"/>
  <c r="GF83" i="7"/>
  <c r="BM95" i="7"/>
  <c r="BM140" i="7"/>
  <c r="CA106" i="7"/>
  <c r="BK106" i="7"/>
  <c r="BL106" i="7" s="1"/>
  <c r="BM81" i="7"/>
  <c r="GG100" i="7"/>
  <c r="GF100" i="7"/>
  <c r="BM77" i="7"/>
  <c r="CA75" i="7"/>
  <c r="BK75" i="7"/>
  <c r="BL75" i="7" s="1"/>
  <c r="HQ90" i="7"/>
  <c r="BM107" i="7"/>
  <c r="BM93" i="7"/>
  <c r="HQ87" i="7"/>
  <c r="GF96" i="7"/>
  <c r="GG96" i="7"/>
  <c r="BM151" i="7"/>
  <c r="HQ147" i="7"/>
  <c r="HQ105" i="7"/>
  <c r="HQ149" i="7"/>
  <c r="GF89" i="7"/>
  <c r="GG89" i="7"/>
  <c r="BM104" i="7"/>
  <c r="BM98" i="7"/>
  <c r="GM145" i="7"/>
  <c r="GG155" i="7"/>
  <c r="GF155" i="7"/>
  <c r="HQ109" i="7"/>
  <c r="BM76" i="7"/>
  <c r="BM91" i="7"/>
  <c r="BM109" i="7"/>
  <c r="GG138" i="7"/>
  <c r="GF138" i="7"/>
  <c r="HQ150" i="7"/>
  <c r="BM144" i="7"/>
  <c r="BM145" i="7"/>
  <c r="BM143" i="7"/>
  <c r="GF152" i="7"/>
  <c r="GG152" i="7"/>
  <c r="HV86" i="7"/>
  <c r="GX86" i="7"/>
  <c r="GF146" i="7"/>
  <c r="GG146" i="7"/>
  <c r="BM150" i="7"/>
  <c r="CA79" i="7"/>
  <c r="BK79" i="7"/>
  <c r="BL79" i="7" s="1"/>
  <c r="GM143" i="7"/>
  <c r="GV143" i="7" s="1"/>
  <c r="HE143" i="7" s="1"/>
  <c r="BM82" i="7"/>
  <c r="HV148" i="7"/>
  <c r="HZ148" i="7" s="1"/>
  <c r="GX148" i="7"/>
  <c r="GF110" i="7"/>
  <c r="GG110" i="7"/>
  <c r="GF81" i="7"/>
  <c r="GG81" i="7"/>
  <c r="BM110" i="7"/>
  <c r="BM78" i="7"/>
  <c r="GM112" i="7"/>
  <c r="GF104" i="7"/>
  <c r="GG104" i="7"/>
  <c r="GS148" i="7"/>
  <c r="HV111" i="7" l="1"/>
  <c r="HZ111" i="7" s="1"/>
  <c r="GM94" i="7"/>
  <c r="GO94" i="7" s="1"/>
  <c r="HQ142" i="7"/>
  <c r="HV92" i="7"/>
  <c r="HZ92" i="7" s="1"/>
  <c r="IE92" i="7" s="1"/>
  <c r="GX92" i="7"/>
  <c r="GZ92" i="7" s="1"/>
  <c r="HA92" i="7" s="1"/>
  <c r="GU92" i="7"/>
  <c r="HF92" i="7" s="1"/>
  <c r="HQ94" i="7"/>
  <c r="GM142" i="7"/>
  <c r="GX111" i="7"/>
  <c r="GY111" i="7" s="1"/>
  <c r="IA125" i="7"/>
  <c r="IF125" i="7" s="1"/>
  <c r="GZ125" i="7"/>
  <c r="HA125" i="7" s="1"/>
  <c r="HC125" i="7" s="1"/>
  <c r="HD125" i="7" s="1"/>
  <c r="HU84" i="7"/>
  <c r="HU151" i="7"/>
  <c r="GV128" i="7"/>
  <c r="HE128" i="7" s="1"/>
  <c r="GV154" i="7"/>
  <c r="HE154" i="7" s="1"/>
  <c r="GO156" i="7"/>
  <c r="GS156" i="7" s="1"/>
  <c r="GU156" i="7" s="1"/>
  <c r="HF156" i="7" s="1"/>
  <c r="GW111" i="7"/>
  <c r="GU111" i="7"/>
  <c r="HF111" i="7" s="1"/>
  <c r="GV87" i="7"/>
  <c r="HE87" i="7" s="1"/>
  <c r="HU87" i="7"/>
  <c r="GV102" i="7"/>
  <c r="HE102" i="7" s="1"/>
  <c r="GV84" i="7"/>
  <c r="HE84" i="7" s="1"/>
  <c r="HU90" i="7"/>
  <c r="GV147" i="7"/>
  <c r="HE147" i="7" s="1"/>
  <c r="HQ144" i="7"/>
  <c r="GO147" i="7"/>
  <c r="GS147" i="7" s="1"/>
  <c r="GU147" i="7" s="1"/>
  <c r="HF147" i="7" s="1"/>
  <c r="GO154" i="7"/>
  <c r="GS154" i="7" s="1"/>
  <c r="GU154" i="7" s="1"/>
  <c r="HF154" i="7" s="1"/>
  <c r="HU139" i="7"/>
  <c r="GV90" i="7"/>
  <c r="HE90" i="7" s="1"/>
  <c r="GO139" i="7"/>
  <c r="GS139" i="7" s="1"/>
  <c r="GW139" i="7" s="1"/>
  <c r="HU156" i="7"/>
  <c r="GO128" i="7"/>
  <c r="GS128" i="7" s="1"/>
  <c r="GW128" i="7" s="1"/>
  <c r="GV109" i="7"/>
  <c r="HE109" i="7" s="1"/>
  <c r="HZ86" i="7"/>
  <c r="IA86" i="7" s="1"/>
  <c r="IF86" i="7" s="1"/>
  <c r="GV140" i="7"/>
  <c r="HE140" i="7" s="1"/>
  <c r="GO140" i="7"/>
  <c r="GX140" i="7" s="1"/>
  <c r="GY140" i="7" s="1"/>
  <c r="HU88" i="7"/>
  <c r="GV88" i="7"/>
  <c r="HE88" i="7" s="1"/>
  <c r="GM80" i="7"/>
  <c r="GV80" i="7" s="1"/>
  <c r="HE80" i="7" s="1"/>
  <c r="GV144" i="7"/>
  <c r="HE144" i="7" s="1"/>
  <c r="HU144" i="7"/>
  <c r="HU109" i="7"/>
  <c r="GV108" i="7"/>
  <c r="HE108" i="7" s="1"/>
  <c r="GM81" i="7"/>
  <c r="GV81" i="7" s="1"/>
  <c r="HE81" i="7" s="1"/>
  <c r="GV151" i="7"/>
  <c r="HE151" i="7" s="1"/>
  <c r="GM96" i="7"/>
  <c r="GO96" i="7" s="1"/>
  <c r="GM146" i="7"/>
  <c r="HU146" i="7" s="1"/>
  <c r="HU108" i="7"/>
  <c r="HU150" i="7"/>
  <c r="GV150" i="7"/>
  <c r="HE150" i="7" s="1"/>
  <c r="GO150" i="7"/>
  <c r="GS150" i="7" s="1"/>
  <c r="GM107" i="7"/>
  <c r="GV107" i="7" s="1"/>
  <c r="HE107" i="7" s="1"/>
  <c r="GM141" i="7"/>
  <c r="HU141" i="7" s="1"/>
  <c r="GM99" i="7"/>
  <c r="GV99" i="7" s="1"/>
  <c r="HE99" i="7" s="1"/>
  <c r="GM89" i="7"/>
  <c r="HU89" i="7" s="1"/>
  <c r="GO77" i="7"/>
  <c r="HV77" i="7" s="1"/>
  <c r="HU77" i="7"/>
  <c r="HA124" i="7"/>
  <c r="HC124" i="7" s="1"/>
  <c r="HD124" i="7" s="1"/>
  <c r="GM75" i="7"/>
  <c r="GO75" i="7" s="1"/>
  <c r="GM104" i="7"/>
  <c r="GO104" i="7" s="1"/>
  <c r="GS104" i="7" s="1"/>
  <c r="GM100" i="7"/>
  <c r="GO100" i="7" s="1"/>
  <c r="GS100" i="7" s="1"/>
  <c r="GM152" i="7"/>
  <c r="HU152" i="7" s="1"/>
  <c r="GM93" i="7"/>
  <c r="HU93" i="7" s="1"/>
  <c r="IA148" i="7"/>
  <c r="IF148" i="7" s="1"/>
  <c r="IE148" i="7"/>
  <c r="IE122" i="7"/>
  <c r="IA122" i="7"/>
  <c r="IF122" i="7" s="1"/>
  <c r="IE111" i="7"/>
  <c r="IA111" i="7"/>
  <c r="IF111" i="7" s="1"/>
  <c r="GG106" i="7"/>
  <c r="GF106" i="7"/>
  <c r="HV84" i="7"/>
  <c r="GX84" i="7"/>
  <c r="GY84" i="7" s="1"/>
  <c r="HQ83" i="7"/>
  <c r="GS84" i="7"/>
  <c r="HQ107" i="7"/>
  <c r="HQ80" i="7"/>
  <c r="HQ91" i="7"/>
  <c r="GM79" i="7"/>
  <c r="HV109" i="7"/>
  <c r="GX109" i="7"/>
  <c r="HV87" i="7"/>
  <c r="GX87" i="7"/>
  <c r="GW109" i="7"/>
  <c r="GU109" i="7"/>
  <c r="HF109" i="7" s="1"/>
  <c r="GW90" i="7"/>
  <c r="GU90" i="7"/>
  <c r="HF90" i="7" s="1"/>
  <c r="HQ104" i="7"/>
  <c r="GS87" i="7"/>
  <c r="GM83" i="7"/>
  <c r="GV83" i="7" s="1"/>
  <c r="HE83" i="7" s="1"/>
  <c r="GW108" i="7"/>
  <c r="GU108" i="7"/>
  <c r="HF108" i="7" s="1"/>
  <c r="HQ155" i="7"/>
  <c r="BM75" i="7"/>
  <c r="BO75" i="7" s="1"/>
  <c r="HU85" i="7"/>
  <c r="GO85" i="7"/>
  <c r="HU82" i="7"/>
  <c r="GO82" i="7"/>
  <c r="GS82" i="7" s="1"/>
  <c r="GM91" i="7"/>
  <c r="GV91" i="7" s="1"/>
  <c r="HE91" i="7" s="1"/>
  <c r="GV145" i="7"/>
  <c r="HE145" i="7" s="1"/>
  <c r="HV88" i="7"/>
  <c r="GX88" i="7"/>
  <c r="GY88" i="7" s="1"/>
  <c r="HQ78" i="7"/>
  <c r="HQ96" i="7"/>
  <c r="HQ79" i="7"/>
  <c r="GW144" i="7"/>
  <c r="GU144" i="7"/>
  <c r="HF144" i="7" s="1"/>
  <c r="GW102" i="7"/>
  <c r="GU102" i="7"/>
  <c r="HF102" i="7" s="1"/>
  <c r="HU112" i="7"/>
  <c r="GO112" i="7"/>
  <c r="GS112" i="7" s="1"/>
  <c r="HQ81" i="7"/>
  <c r="BM106" i="7"/>
  <c r="GM110" i="7"/>
  <c r="GV110" i="7" s="1"/>
  <c r="HE110" i="7" s="1"/>
  <c r="HQ146" i="7"/>
  <c r="GM155" i="7"/>
  <c r="GV155" i="7" s="1"/>
  <c r="HE155" i="7" s="1"/>
  <c r="HQ89" i="7"/>
  <c r="GM76" i="7"/>
  <c r="GV76" i="7" s="1"/>
  <c r="HE76" i="7" s="1"/>
  <c r="GX90" i="7"/>
  <c r="HV90" i="7"/>
  <c r="GM153" i="7"/>
  <c r="GW148" i="7"/>
  <c r="GU148" i="7"/>
  <c r="HF148" i="7" s="1"/>
  <c r="HQ76" i="7"/>
  <c r="GU151" i="7"/>
  <c r="HF151" i="7" s="1"/>
  <c r="GW151" i="7"/>
  <c r="GM103" i="7"/>
  <c r="GV103" i="7" s="1"/>
  <c r="HE103" i="7" s="1"/>
  <c r="HQ153" i="7"/>
  <c r="HV144" i="7"/>
  <c r="GX144" i="7"/>
  <c r="GY144" i="7" s="1"/>
  <c r="GZ86" i="7"/>
  <c r="HA86" i="7" s="1"/>
  <c r="HU145" i="7"/>
  <c r="GO145" i="7"/>
  <c r="GM138" i="7"/>
  <c r="GV138" i="7" s="1"/>
  <c r="HE138" i="7" s="1"/>
  <c r="HU149" i="7"/>
  <c r="GO149" i="7"/>
  <c r="HQ103" i="7"/>
  <c r="GV112" i="7"/>
  <c r="HE112" i="7" s="1"/>
  <c r="HQ137" i="7"/>
  <c r="HQ98" i="7"/>
  <c r="BM89" i="7"/>
  <c r="HQ152" i="7"/>
  <c r="HQ141" i="7"/>
  <c r="HQ110" i="7"/>
  <c r="HQ138" i="7"/>
  <c r="HU143" i="7"/>
  <c r="GO143" i="7"/>
  <c r="GS143" i="7" s="1"/>
  <c r="HU105" i="7"/>
  <c r="GO105" i="7"/>
  <c r="GX102" i="7"/>
  <c r="GY102" i="7" s="1"/>
  <c r="HV102" i="7"/>
  <c r="HZ102" i="7" s="1"/>
  <c r="HQ97" i="7"/>
  <c r="GY148" i="7"/>
  <c r="BM79" i="7"/>
  <c r="GY86" i="7"/>
  <c r="HQ100" i="7"/>
  <c r="HV151" i="7"/>
  <c r="GX151" i="7"/>
  <c r="HQ93" i="7"/>
  <c r="GM98" i="7"/>
  <c r="GZ122" i="7"/>
  <c r="HA122" i="7" s="1"/>
  <c r="HC122" i="7" s="1"/>
  <c r="HD122" i="7" s="1"/>
  <c r="GM97" i="7"/>
  <c r="GV97" i="7" s="1"/>
  <c r="HE97" i="7" s="1"/>
  <c r="HU95" i="7"/>
  <c r="GO95" i="7"/>
  <c r="GS88" i="7"/>
  <c r="HQ75" i="7"/>
  <c r="HH122" i="7"/>
  <c r="HH123" i="7"/>
  <c r="BM96" i="7"/>
  <c r="GY92" i="7"/>
  <c r="HQ99" i="7"/>
  <c r="GM78" i="7"/>
  <c r="GV78" i="7" s="1"/>
  <c r="HE78" i="7" s="1"/>
  <c r="HV108" i="7"/>
  <c r="GX108" i="7"/>
  <c r="GY108" i="7" s="1"/>
  <c r="GM137" i="7"/>
  <c r="IA92" i="7" l="1"/>
  <c r="IF92" i="7" s="1"/>
  <c r="HU94" i="7"/>
  <c r="GS94" i="7"/>
  <c r="HV94" i="7"/>
  <c r="GX94" i="7"/>
  <c r="GV94" i="7"/>
  <c r="HE94" i="7" s="1"/>
  <c r="GV142" i="7"/>
  <c r="HE142" i="7" s="1"/>
  <c r="GO142" i="7"/>
  <c r="HU142" i="7"/>
  <c r="GZ111" i="7"/>
  <c r="HB111" i="7" s="1"/>
  <c r="HG111" i="7" s="1"/>
  <c r="HV156" i="7"/>
  <c r="HZ156" i="7" s="1"/>
  <c r="GW156" i="7"/>
  <c r="HU80" i="7"/>
  <c r="HB125" i="7"/>
  <c r="HG125" i="7" s="1"/>
  <c r="HI125" i="7" s="1"/>
  <c r="GX156" i="7"/>
  <c r="GY156" i="7" s="1"/>
  <c r="HZ84" i="7"/>
  <c r="IE84" i="7" s="1"/>
  <c r="GW147" i="7"/>
  <c r="HZ109" i="7"/>
  <c r="IE109" i="7" s="1"/>
  <c r="IE86" i="7"/>
  <c r="HZ151" i="7"/>
  <c r="IE151" i="7" s="1"/>
  <c r="HZ144" i="7"/>
  <c r="IE144" i="7" s="1"/>
  <c r="GS77" i="7"/>
  <c r="GW77" i="7" s="1"/>
  <c r="GW154" i="7"/>
  <c r="GX154" i="7"/>
  <c r="GY154" i="7" s="1"/>
  <c r="HV154" i="7"/>
  <c r="HZ154" i="7" s="1"/>
  <c r="IA154" i="7" s="1"/>
  <c r="IF154" i="7" s="1"/>
  <c r="HZ87" i="7"/>
  <c r="IA87" i="7" s="1"/>
  <c r="IF87" i="7" s="1"/>
  <c r="GX147" i="7"/>
  <c r="GY147" i="7" s="1"/>
  <c r="HV147" i="7"/>
  <c r="HZ147" i="7" s="1"/>
  <c r="IA147" i="7" s="1"/>
  <c r="IF147" i="7" s="1"/>
  <c r="HZ77" i="7"/>
  <c r="IE77" i="7" s="1"/>
  <c r="GO80" i="7"/>
  <c r="GX80" i="7" s="1"/>
  <c r="GY80" i="7" s="1"/>
  <c r="GO146" i="7"/>
  <c r="HV146" i="7" s="1"/>
  <c r="HZ146" i="7" s="1"/>
  <c r="HZ90" i="7"/>
  <c r="IA90" i="7" s="1"/>
  <c r="IF90" i="7" s="1"/>
  <c r="HV139" i="7"/>
  <c r="HZ139" i="7" s="1"/>
  <c r="IA139" i="7" s="1"/>
  <c r="IF139" i="7" s="1"/>
  <c r="GU139" i="7"/>
  <c r="HF139" i="7" s="1"/>
  <c r="GV104" i="7"/>
  <c r="HE104" i="7" s="1"/>
  <c r="GX139" i="7"/>
  <c r="GZ139" i="7" s="1"/>
  <c r="HB139" i="7" s="1"/>
  <c r="HG139" i="7" s="1"/>
  <c r="GX77" i="7"/>
  <c r="GY77" i="7" s="1"/>
  <c r="GO107" i="7"/>
  <c r="HV107" i="7" s="1"/>
  <c r="HU107" i="7"/>
  <c r="HU104" i="7"/>
  <c r="HZ88" i="7"/>
  <c r="IA88" i="7" s="1"/>
  <c r="IF88" i="7" s="1"/>
  <c r="HV140" i="7"/>
  <c r="HZ140" i="7" s="1"/>
  <c r="IA140" i="7" s="1"/>
  <c r="IF140" i="7" s="1"/>
  <c r="GU128" i="7"/>
  <c r="HF128" i="7" s="1"/>
  <c r="HH129" i="7" s="1"/>
  <c r="GS140" i="7"/>
  <c r="GW140" i="7" s="1"/>
  <c r="GZ140" i="7" s="1"/>
  <c r="HB140" i="7" s="1"/>
  <c r="HG140" i="7" s="1"/>
  <c r="HU96" i="7"/>
  <c r="GX128" i="7"/>
  <c r="GY128" i="7" s="1"/>
  <c r="HV128" i="7"/>
  <c r="HZ128" i="7" s="1"/>
  <c r="IE128" i="7" s="1"/>
  <c r="GV96" i="7"/>
  <c r="HE96" i="7" s="1"/>
  <c r="GO141" i="7"/>
  <c r="GS141" i="7" s="1"/>
  <c r="GW141" i="7" s="1"/>
  <c r="HU100" i="7"/>
  <c r="HV150" i="7"/>
  <c r="HZ150" i="7" s="1"/>
  <c r="IE150" i="7" s="1"/>
  <c r="HU75" i="7"/>
  <c r="GO81" i="7"/>
  <c r="GS81" i="7" s="1"/>
  <c r="GU81" i="7" s="1"/>
  <c r="HF81" i="7" s="1"/>
  <c r="HU81" i="7"/>
  <c r="GX150" i="7"/>
  <c r="GY150" i="7" s="1"/>
  <c r="GV100" i="7"/>
  <c r="HE100" i="7" s="1"/>
  <c r="GV152" i="7"/>
  <c r="HE152" i="7" s="1"/>
  <c r="GO152" i="7"/>
  <c r="GS152" i="7" s="1"/>
  <c r="GW152" i="7" s="1"/>
  <c r="GV146" i="7"/>
  <c r="HE146" i="7" s="1"/>
  <c r="GV141" i="7"/>
  <c r="HE141" i="7" s="1"/>
  <c r="GO99" i="7"/>
  <c r="GS99" i="7" s="1"/>
  <c r="GW99" i="7" s="1"/>
  <c r="HU99" i="7"/>
  <c r="HZ108" i="7"/>
  <c r="IE108" i="7" s="1"/>
  <c r="HJ124" i="7"/>
  <c r="GW150" i="7"/>
  <c r="GU150" i="7"/>
  <c r="HF150" i="7" s="1"/>
  <c r="HH151" i="7" s="1"/>
  <c r="HB86" i="7"/>
  <c r="HG86" i="7" s="1"/>
  <c r="GO89" i="7"/>
  <c r="GS89" i="7" s="1"/>
  <c r="GW89" i="7" s="1"/>
  <c r="GM106" i="7"/>
  <c r="GV106" i="7" s="1"/>
  <c r="HE106" i="7" s="1"/>
  <c r="GV89" i="7"/>
  <c r="HE89" i="7" s="1"/>
  <c r="GO93" i="7"/>
  <c r="GS93" i="7" s="1"/>
  <c r="GW93" i="7" s="1"/>
  <c r="GV93" i="7"/>
  <c r="HE93" i="7" s="1"/>
  <c r="HB92" i="7"/>
  <c r="HG92" i="7" s="1"/>
  <c r="HC86" i="7"/>
  <c r="HD86" i="7" s="1"/>
  <c r="GS75" i="7"/>
  <c r="GU75" i="7" s="1"/>
  <c r="HF75" i="7" s="1"/>
  <c r="HB122" i="7"/>
  <c r="HG122" i="7" s="1"/>
  <c r="HJ122" i="7" s="1"/>
  <c r="GV75" i="7"/>
  <c r="HE75" i="7" s="1"/>
  <c r="IE102" i="7"/>
  <c r="IA102" i="7"/>
  <c r="IF102" i="7" s="1"/>
  <c r="BN76" i="7"/>
  <c r="BO76" i="7"/>
  <c r="BP75" i="7"/>
  <c r="BS75" i="7" s="1"/>
  <c r="BT75" i="7" s="1"/>
  <c r="GW104" i="7"/>
  <c r="GU104" i="7"/>
  <c r="HF104" i="7" s="1"/>
  <c r="GO79" i="7"/>
  <c r="HU79" i="7"/>
  <c r="GZ108" i="7"/>
  <c r="HB108" i="7" s="1"/>
  <c r="HG108" i="7" s="1"/>
  <c r="HV143" i="7"/>
  <c r="HZ143" i="7" s="1"/>
  <c r="GX143" i="7"/>
  <c r="GY143" i="7" s="1"/>
  <c r="GO153" i="7"/>
  <c r="HU153" i="7"/>
  <c r="HU110" i="7"/>
  <c r="GO110" i="7"/>
  <c r="BQ75" i="7"/>
  <c r="HV100" i="7"/>
  <c r="GX100" i="7"/>
  <c r="GY100" i="7" s="1"/>
  <c r="HQ106" i="7"/>
  <c r="HU97" i="7"/>
  <c r="GO97" i="7"/>
  <c r="HH109" i="7"/>
  <c r="GX145" i="7"/>
  <c r="GY145" i="7" s="1"/>
  <c r="HV145" i="7"/>
  <c r="HZ145" i="7" s="1"/>
  <c r="GZ144" i="7"/>
  <c r="HA144" i="7" s="1"/>
  <c r="HC144" i="7" s="1"/>
  <c r="HD144" i="7" s="1"/>
  <c r="HU103" i="7"/>
  <c r="GO103" i="7"/>
  <c r="HF5" i="7"/>
  <c r="GV79" i="7"/>
  <c r="HE79" i="7" s="1"/>
  <c r="GX85" i="7"/>
  <c r="GY85" i="7" s="1"/>
  <c r="HV85" i="7"/>
  <c r="HZ85" i="7" s="1"/>
  <c r="GS85" i="7"/>
  <c r="GZ148" i="7"/>
  <c r="HB148" i="7" s="1"/>
  <c r="HG148" i="7" s="1"/>
  <c r="HU137" i="7"/>
  <c r="GO137" i="7"/>
  <c r="HV149" i="7"/>
  <c r="HZ149" i="7" s="1"/>
  <c r="GX149" i="7"/>
  <c r="GY149" i="7" s="1"/>
  <c r="GS149" i="7"/>
  <c r="GZ90" i="7"/>
  <c r="HA90" i="7" s="1"/>
  <c r="HU155" i="7"/>
  <c r="GO155" i="7"/>
  <c r="GS155" i="7" s="1"/>
  <c r="HV112" i="7"/>
  <c r="HZ112" i="7" s="1"/>
  <c r="GX112" i="7"/>
  <c r="GY112" i="7" s="1"/>
  <c r="GZ109" i="7"/>
  <c r="HB109" i="7" s="1"/>
  <c r="HG109" i="7" s="1"/>
  <c r="GW84" i="7"/>
  <c r="GZ84" i="7" s="1"/>
  <c r="HB84" i="7" s="1"/>
  <c r="HG84" i="7" s="1"/>
  <c r="GU84" i="7"/>
  <c r="HF84" i="7" s="1"/>
  <c r="HU76" i="7"/>
  <c r="GO76" i="7"/>
  <c r="GS76" i="7" s="1"/>
  <c r="GV98" i="7"/>
  <c r="HE98" i="7" s="1"/>
  <c r="GZ102" i="7"/>
  <c r="HA102" i="7" s="1"/>
  <c r="HC102" i="7" s="1"/>
  <c r="HD102" i="7" s="1"/>
  <c r="HV104" i="7"/>
  <c r="GX104" i="7"/>
  <c r="GY104" i="7" s="1"/>
  <c r="GV153" i="7"/>
  <c r="HE153" i="7" s="1"/>
  <c r="HV96" i="7"/>
  <c r="GX96" i="7"/>
  <c r="GY96" i="7" s="1"/>
  <c r="GY90" i="7"/>
  <c r="HU83" i="7"/>
  <c r="GO83" i="7"/>
  <c r="GS83" i="7" s="1"/>
  <c r="GZ151" i="7"/>
  <c r="HA151" i="7" s="1"/>
  <c r="GY151" i="7"/>
  <c r="GW82" i="7"/>
  <c r="GU82" i="7"/>
  <c r="HF82" i="7" s="1"/>
  <c r="HA111" i="7"/>
  <c r="HC111" i="7" s="1"/>
  <c r="HD111" i="7" s="1"/>
  <c r="HV75" i="7"/>
  <c r="GX75" i="7"/>
  <c r="GY75" i="7" s="1"/>
  <c r="HU91" i="7"/>
  <c r="GO91" i="7"/>
  <c r="GS91" i="7" s="1"/>
  <c r="GW87" i="7"/>
  <c r="GZ87" i="7" s="1"/>
  <c r="HB87" i="7" s="1"/>
  <c r="HG87" i="7" s="1"/>
  <c r="GU87" i="7"/>
  <c r="HF87" i="7" s="1"/>
  <c r="GY87" i="7"/>
  <c r="GY109" i="7"/>
  <c r="HC92" i="7"/>
  <c r="HD92" i="7" s="1"/>
  <c r="HV95" i="7"/>
  <c r="HZ95" i="7" s="1"/>
  <c r="GX95" i="7"/>
  <c r="GY95" i="7" s="1"/>
  <c r="GS95" i="7"/>
  <c r="GV137" i="7"/>
  <c r="HE137" i="7" s="1"/>
  <c r="GW143" i="7"/>
  <c r="GU143" i="7"/>
  <c r="HF143" i="7" s="1"/>
  <c r="HH144" i="7" s="1"/>
  <c r="HU78" i="7"/>
  <c r="GO78" i="7"/>
  <c r="GS78" i="7" s="1"/>
  <c r="GO98" i="7"/>
  <c r="HU98" i="7"/>
  <c r="GW112" i="7"/>
  <c r="GU112" i="7"/>
  <c r="HF112" i="7" s="1"/>
  <c r="GW88" i="7"/>
  <c r="GZ88" i="7" s="1"/>
  <c r="HB88" i="7" s="1"/>
  <c r="HG88" i="7" s="1"/>
  <c r="GU88" i="7"/>
  <c r="HF88" i="7" s="1"/>
  <c r="GW100" i="7"/>
  <c r="GU100" i="7"/>
  <c r="HF100" i="7" s="1"/>
  <c r="HV105" i="7"/>
  <c r="HZ105" i="7" s="1"/>
  <c r="GX105" i="7"/>
  <c r="GY105" i="7" s="1"/>
  <c r="GS105" i="7"/>
  <c r="HU138" i="7"/>
  <c r="GO138" i="7"/>
  <c r="HH148" i="7"/>
  <c r="HH102" i="7"/>
  <c r="GS96" i="7"/>
  <c r="HV82" i="7"/>
  <c r="HZ82" i="7" s="1"/>
  <c r="GX82" i="7"/>
  <c r="GY82" i="7" s="1"/>
  <c r="GS145" i="7"/>
  <c r="HZ94" i="7" l="1"/>
  <c r="GZ128" i="7"/>
  <c r="HB128" i="7" s="1"/>
  <c r="HG128" i="7" s="1"/>
  <c r="HI128" i="7" s="1"/>
  <c r="GX107" i="7"/>
  <c r="GY107" i="7" s="1"/>
  <c r="GS107" i="7"/>
  <c r="GU107" i="7" s="1"/>
  <c r="HF107" i="7" s="1"/>
  <c r="IE94" i="7"/>
  <c r="IA94" i="7"/>
  <c r="IF94" i="7" s="1"/>
  <c r="GY94" i="7"/>
  <c r="GW94" i="7"/>
  <c r="GU94" i="7"/>
  <c r="HF94" i="7" s="1"/>
  <c r="IA77" i="7"/>
  <c r="IF77" i="7" s="1"/>
  <c r="HV142" i="7"/>
  <c r="HZ142" i="7" s="1"/>
  <c r="GX142" i="7"/>
  <c r="GY142" i="7" s="1"/>
  <c r="GS142" i="7"/>
  <c r="GX146" i="7"/>
  <c r="GY146" i="7" s="1"/>
  <c r="IA84" i="7"/>
  <c r="IF84" i="7" s="1"/>
  <c r="GZ154" i="7"/>
  <c r="HB154" i="7" s="1"/>
  <c r="HG154" i="7" s="1"/>
  <c r="IA156" i="7"/>
  <c r="IF156" i="7" s="1"/>
  <c r="IE156" i="7"/>
  <c r="GZ156" i="7"/>
  <c r="HA156" i="7" s="1"/>
  <c r="HC156" i="7" s="1"/>
  <c r="HD156" i="7" s="1"/>
  <c r="HD5" i="7" s="1"/>
  <c r="HI126" i="7"/>
  <c r="IA151" i="7"/>
  <c r="IF151" i="7" s="1"/>
  <c r="GZ147" i="7"/>
  <c r="HA147" i="7" s="1"/>
  <c r="HC147" i="7" s="1"/>
  <c r="HD147" i="7" s="1"/>
  <c r="HJ126" i="7"/>
  <c r="HJ125" i="7"/>
  <c r="HH128" i="7"/>
  <c r="IE147" i="7"/>
  <c r="IA144" i="7"/>
  <c r="IF144" i="7" s="1"/>
  <c r="IA109" i="7"/>
  <c r="IF109" i="7" s="1"/>
  <c r="GU77" i="7"/>
  <c r="HF77" i="7" s="1"/>
  <c r="GS146" i="7"/>
  <c r="GW146" i="7" s="1"/>
  <c r="GZ146" i="7" s="1"/>
  <c r="HB146" i="7" s="1"/>
  <c r="HG146" i="7" s="1"/>
  <c r="IA128" i="7"/>
  <c r="IF128" i="7" s="1"/>
  <c r="IE154" i="7"/>
  <c r="IE87" i="7"/>
  <c r="HV80" i="7"/>
  <c r="HZ80" i="7" s="1"/>
  <c r="IA80" i="7" s="1"/>
  <c r="IF80" i="7" s="1"/>
  <c r="HZ107" i="7"/>
  <c r="IE107" i="7" s="1"/>
  <c r="IE90" i="7"/>
  <c r="IE139" i="7"/>
  <c r="IE88" i="7"/>
  <c r="GS80" i="7"/>
  <c r="GU80" i="7" s="1"/>
  <c r="HF80" i="7" s="1"/>
  <c r="HH81" i="7" s="1"/>
  <c r="HZ104" i="7"/>
  <c r="IE104" i="7" s="1"/>
  <c r="GY139" i="7"/>
  <c r="HZ100" i="7"/>
  <c r="IE100" i="7" s="1"/>
  <c r="IE140" i="7"/>
  <c r="GU140" i="7"/>
  <c r="HF140" i="7" s="1"/>
  <c r="HZ75" i="7"/>
  <c r="IA75" i="7" s="1"/>
  <c r="IF75" i="7" s="1"/>
  <c r="GW81" i="7"/>
  <c r="HZ96" i="7"/>
  <c r="IE96" i="7" s="1"/>
  <c r="HU106" i="7"/>
  <c r="HV81" i="7"/>
  <c r="HZ81" i="7" s="1"/>
  <c r="IE81" i="7" s="1"/>
  <c r="GU99" i="7"/>
  <c r="HF99" i="7" s="1"/>
  <c r="HH100" i="7" s="1"/>
  <c r="HV99" i="7"/>
  <c r="HZ99" i="7" s="1"/>
  <c r="IA99" i="7" s="1"/>
  <c r="IF99" i="7" s="1"/>
  <c r="GO106" i="7"/>
  <c r="HV106" i="7" s="1"/>
  <c r="GX81" i="7"/>
  <c r="GY81" i="7" s="1"/>
  <c r="GX99" i="7"/>
  <c r="GY99" i="7" s="1"/>
  <c r="GU141" i="7"/>
  <c r="HF141" i="7" s="1"/>
  <c r="GX141" i="7"/>
  <c r="GZ141" i="7" s="1"/>
  <c r="HB141" i="7" s="1"/>
  <c r="HG141" i="7" s="1"/>
  <c r="HI141" i="7" s="1"/>
  <c r="HV141" i="7"/>
  <c r="HZ141" i="7" s="1"/>
  <c r="IE141" i="7" s="1"/>
  <c r="HA139" i="7"/>
  <c r="GW75" i="7"/>
  <c r="GZ75" i="7" s="1"/>
  <c r="HA75" i="7" s="1"/>
  <c r="HC75" i="7" s="1"/>
  <c r="HD75" i="7" s="1"/>
  <c r="IA150" i="7"/>
  <c r="IF150" i="7" s="1"/>
  <c r="GZ150" i="7"/>
  <c r="HB150" i="7" s="1"/>
  <c r="HG150" i="7" s="1"/>
  <c r="GU152" i="7"/>
  <c r="HF152" i="7" s="1"/>
  <c r="HH152" i="7" s="1"/>
  <c r="GX152" i="7"/>
  <c r="GZ152" i="7" s="1"/>
  <c r="HB152" i="7" s="1"/>
  <c r="HG152" i="7" s="1"/>
  <c r="HV152" i="7"/>
  <c r="HZ152" i="7" s="1"/>
  <c r="IA152" i="7" s="1"/>
  <c r="IF152" i="7" s="1"/>
  <c r="HI87" i="7"/>
  <c r="HA128" i="7"/>
  <c r="HC128" i="7" s="1"/>
  <c r="HD128" i="7" s="1"/>
  <c r="HJ129" i="7" s="1"/>
  <c r="HA108" i="7"/>
  <c r="HC108" i="7" s="1"/>
  <c r="HD108" i="7" s="1"/>
  <c r="HI109" i="7"/>
  <c r="IA108" i="7"/>
  <c r="IF108" i="7" s="1"/>
  <c r="HI88" i="7"/>
  <c r="HV89" i="7"/>
  <c r="HZ89" i="7" s="1"/>
  <c r="IE89" i="7" s="1"/>
  <c r="GU89" i="7"/>
  <c r="HF89" i="7" s="1"/>
  <c r="HH90" i="7" s="1"/>
  <c r="HI123" i="7"/>
  <c r="HI122" i="7"/>
  <c r="GX89" i="7"/>
  <c r="GY89" i="7" s="1"/>
  <c r="GU93" i="7"/>
  <c r="HF93" i="7" s="1"/>
  <c r="GX93" i="7"/>
  <c r="GY93" i="7" s="1"/>
  <c r="HV93" i="7"/>
  <c r="HZ93" i="7" s="1"/>
  <c r="IE93" i="7" s="1"/>
  <c r="HB151" i="7"/>
  <c r="HG151" i="7" s="1"/>
  <c r="HA109" i="7"/>
  <c r="HC109" i="7" s="1"/>
  <c r="HD109" i="7" s="1"/>
  <c r="HJ123" i="7"/>
  <c r="HB90" i="7"/>
  <c r="HG90" i="7" s="1"/>
  <c r="BP76" i="7"/>
  <c r="BS76" i="7" s="1"/>
  <c r="BT76" i="7" s="1"/>
  <c r="IE143" i="7"/>
  <c r="IA143" i="7"/>
  <c r="IF143" i="7" s="1"/>
  <c r="IA85" i="7"/>
  <c r="IF85" i="7" s="1"/>
  <c r="IE85" i="7"/>
  <c r="GW78" i="7"/>
  <c r="GU78" i="7"/>
  <c r="HF78" i="7" s="1"/>
  <c r="IA145" i="7"/>
  <c r="IF145" i="7" s="1"/>
  <c r="IE145" i="7"/>
  <c r="IE112" i="7"/>
  <c r="IA112" i="7"/>
  <c r="IF112" i="7" s="1"/>
  <c r="GW91" i="7"/>
  <c r="GU91" i="7"/>
  <c r="HF91" i="7" s="1"/>
  <c r="IA105" i="7"/>
  <c r="IF105" i="7" s="1"/>
  <c r="IE105" i="7"/>
  <c r="IE95" i="7"/>
  <c r="IA95" i="7"/>
  <c r="IF95" i="7" s="1"/>
  <c r="GU155" i="7"/>
  <c r="HF155" i="7" s="1"/>
  <c r="GW155" i="7"/>
  <c r="HI140" i="7"/>
  <c r="GZ82" i="7"/>
  <c r="HB82" i="7" s="1"/>
  <c r="HG82" i="7" s="1"/>
  <c r="HH101" i="7"/>
  <c r="HH82" i="7"/>
  <c r="HC90" i="7"/>
  <c r="HD90" i="7" s="1"/>
  <c r="GZ100" i="7"/>
  <c r="HA100" i="7" s="1"/>
  <c r="HC100" i="7" s="1"/>
  <c r="HD100" i="7" s="1"/>
  <c r="GW95" i="7"/>
  <c r="GU95" i="7"/>
  <c r="HF95" i="7" s="1"/>
  <c r="HH87" i="7"/>
  <c r="HB144" i="7"/>
  <c r="HG144" i="7" s="1"/>
  <c r="IE146" i="7"/>
  <c r="IA146" i="7"/>
  <c r="IF146" i="7" s="1"/>
  <c r="GZ77" i="7"/>
  <c r="HB77" i="7" s="1"/>
  <c r="HG77" i="7" s="1"/>
  <c r="GX98" i="7"/>
  <c r="GY98" i="7" s="1"/>
  <c r="HV98" i="7"/>
  <c r="HZ98" i="7" s="1"/>
  <c r="HH88" i="7"/>
  <c r="GW76" i="7"/>
  <c r="GU76" i="7"/>
  <c r="HF76" i="7" s="1"/>
  <c r="GW107" i="7"/>
  <c r="GW105" i="7"/>
  <c r="GZ105" i="7" s="1"/>
  <c r="HB105" i="7" s="1"/>
  <c r="HG105" i="7" s="1"/>
  <c r="GU105" i="7"/>
  <c r="HF105" i="7" s="1"/>
  <c r="HA88" i="7"/>
  <c r="HC88" i="7" s="1"/>
  <c r="HD88" i="7" s="1"/>
  <c r="HB102" i="7"/>
  <c r="HG102" i="7" s="1"/>
  <c r="HV76" i="7"/>
  <c r="HZ76" i="7" s="1"/>
  <c r="GX76" i="7"/>
  <c r="GY76" i="7" s="1"/>
  <c r="GX137" i="7"/>
  <c r="HV137" i="7"/>
  <c r="HZ137" i="7" s="1"/>
  <c r="GS137" i="7"/>
  <c r="IE82" i="7"/>
  <c r="IA82" i="7"/>
  <c r="IF82" i="7" s="1"/>
  <c r="GW96" i="7"/>
  <c r="GU96" i="7"/>
  <c r="HF96" i="7" s="1"/>
  <c r="HA87" i="7"/>
  <c r="HC87" i="7" s="1"/>
  <c r="HD87" i="7" s="1"/>
  <c r="GW149" i="7"/>
  <c r="GZ149" i="7" s="1"/>
  <c r="HB149" i="7" s="1"/>
  <c r="HG149" i="7" s="1"/>
  <c r="GU149" i="7"/>
  <c r="HF149" i="7" s="1"/>
  <c r="HH112" i="7"/>
  <c r="HH113" i="7"/>
  <c r="GX91" i="7"/>
  <c r="GY91" i="7" s="1"/>
  <c r="HV91" i="7"/>
  <c r="HZ91" i="7" s="1"/>
  <c r="HC151" i="7"/>
  <c r="HD151" i="7" s="1"/>
  <c r="HV83" i="7"/>
  <c r="HZ83" i="7" s="1"/>
  <c r="GX83" i="7"/>
  <c r="GY83" i="7" s="1"/>
  <c r="GW85" i="7"/>
  <c r="GZ85" i="7" s="1"/>
  <c r="HB85" i="7" s="1"/>
  <c r="HG85" i="7" s="1"/>
  <c r="GU85" i="7"/>
  <c r="HF85" i="7" s="1"/>
  <c r="GX97" i="7"/>
  <c r="GY97" i="7" s="1"/>
  <c r="HV97" i="7"/>
  <c r="HZ97" i="7" s="1"/>
  <c r="GS97" i="7"/>
  <c r="HV110" i="7"/>
  <c r="HZ110" i="7" s="1"/>
  <c r="GX110" i="7"/>
  <c r="GY110" i="7" s="1"/>
  <c r="GS110" i="7"/>
  <c r="CB75" i="7"/>
  <c r="BV75" i="7"/>
  <c r="BU75" i="7"/>
  <c r="CQ75" i="7"/>
  <c r="CR75" i="7" s="1"/>
  <c r="HA148" i="7"/>
  <c r="HC148" i="7" s="1"/>
  <c r="HD148" i="7" s="1"/>
  <c r="GX138" i="7"/>
  <c r="GY138" i="7" s="1"/>
  <c r="HV138" i="7"/>
  <c r="HZ138" i="7" s="1"/>
  <c r="GS138" i="7"/>
  <c r="GX155" i="7"/>
  <c r="GY155" i="7" s="1"/>
  <c r="HV155" i="7"/>
  <c r="HZ155" i="7" s="1"/>
  <c r="IE149" i="7"/>
  <c r="IA149" i="7"/>
  <c r="IF149" i="7" s="1"/>
  <c r="GW145" i="7"/>
  <c r="GZ145" i="7" s="1"/>
  <c r="HB145" i="7" s="1"/>
  <c r="HG145" i="7" s="1"/>
  <c r="GU145" i="7"/>
  <c r="HF145" i="7" s="1"/>
  <c r="GX78" i="7"/>
  <c r="HV78" i="7"/>
  <c r="HZ78" i="7" s="1"/>
  <c r="GZ104" i="7"/>
  <c r="HA104" i="7" s="1"/>
  <c r="HC104" i="7" s="1"/>
  <c r="HD104" i="7" s="1"/>
  <c r="CI75" i="7"/>
  <c r="BR74" i="7"/>
  <c r="CP75" i="7"/>
  <c r="HV79" i="7"/>
  <c r="HZ79" i="7" s="1"/>
  <c r="GX79" i="7"/>
  <c r="GY79" i="7" s="1"/>
  <c r="GS79" i="7"/>
  <c r="BN77" i="7"/>
  <c r="BO77" i="7"/>
  <c r="BQ76" i="7"/>
  <c r="BR75" i="7" s="1"/>
  <c r="GS98" i="7"/>
  <c r="HH75" i="7"/>
  <c r="HA84" i="7"/>
  <c r="HC84" i="7" s="1"/>
  <c r="HD84" i="7" s="1"/>
  <c r="GZ112" i="7"/>
  <c r="HB112" i="7" s="1"/>
  <c r="HG112" i="7" s="1"/>
  <c r="GW83" i="7"/>
  <c r="GU83" i="7"/>
  <c r="HF83" i="7" s="1"/>
  <c r="HH84" i="7" s="1"/>
  <c r="HV103" i="7"/>
  <c r="HZ103" i="7" s="1"/>
  <c r="GX103" i="7"/>
  <c r="GY103" i="7" s="1"/>
  <c r="GS103" i="7"/>
  <c r="HA140" i="7"/>
  <c r="HC140" i="7" s="1"/>
  <c r="HD140" i="7" s="1"/>
  <c r="HV153" i="7"/>
  <c r="HZ153" i="7" s="1"/>
  <c r="GX153" i="7"/>
  <c r="GY153" i="7" s="1"/>
  <c r="GS153" i="7"/>
  <c r="GZ143" i="7"/>
  <c r="HB143" i="7" s="1"/>
  <c r="HG143" i="7" s="1"/>
  <c r="HI129" i="7" l="1"/>
  <c r="HB156" i="7"/>
  <c r="HG156" i="7" s="1"/>
  <c r="HH94" i="7"/>
  <c r="GZ94" i="7"/>
  <c r="HB94" i="7" s="1"/>
  <c r="HG94" i="7" s="1"/>
  <c r="HA154" i="7"/>
  <c r="HC154" i="7" s="1"/>
  <c r="HD154" i="7" s="1"/>
  <c r="GU142" i="7"/>
  <c r="HF142" i="7" s="1"/>
  <c r="HH143" i="7" s="1"/>
  <c r="GW142" i="7"/>
  <c r="IE142" i="7"/>
  <c r="IA142" i="7"/>
  <c r="IF142" i="7" s="1"/>
  <c r="GW80" i="7"/>
  <c r="GZ80" i="7" s="1"/>
  <c r="HB80" i="7" s="1"/>
  <c r="HG80" i="7" s="1"/>
  <c r="IE80" i="7"/>
  <c r="HB147" i="7"/>
  <c r="HG147" i="7" s="1"/>
  <c r="HI147" i="7" s="1"/>
  <c r="IA107" i="7"/>
  <c r="IF107" i="7" s="1"/>
  <c r="GU146" i="7"/>
  <c r="HF146" i="7" s="1"/>
  <c r="HH147" i="7" s="1"/>
  <c r="GZ99" i="7"/>
  <c r="HA99" i="7" s="1"/>
  <c r="HC99" i="7" s="1"/>
  <c r="HD99" i="7" s="1"/>
  <c r="IA100" i="7"/>
  <c r="IF100" i="7" s="1"/>
  <c r="IA96" i="7"/>
  <c r="IF96" i="7" s="1"/>
  <c r="GY141" i="7"/>
  <c r="HC139" i="7"/>
  <c r="HD139" i="7" s="1"/>
  <c r="HJ140" i="7" s="1"/>
  <c r="HH141" i="7"/>
  <c r="IA104" i="7"/>
  <c r="IF104" i="7" s="1"/>
  <c r="IE75" i="7"/>
  <c r="GS106" i="7"/>
  <c r="GU106" i="7" s="1"/>
  <c r="HF106" i="7" s="1"/>
  <c r="HH107" i="7" s="1"/>
  <c r="GX106" i="7"/>
  <c r="GY106" i="7" s="1"/>
  <c r="HH140" i="7"/>
  <c r="HZ106" i="7"/>
  <c r="IE106" i="7" s="1"/>
  <c r="GY152" i="7"/>
  <c r="IA141" i="7"/>
  <c r="IF141" i="7" s="1"/>
  <c r="IA81" i="7"/>
  <c r="IF81" i="7" s="1"/>
  <c r="HH89" i="7"/>
  <c r="GZ81" i="7"/>
  <c r="HA81" i="7" s="1"/>
  <c r="HC81" i="7" s="1"/>
  <c r="HD81" i="7" s="1"/>
  <c r="HI151" i="7"/>
  <c r="HA150" i="7"/>
  <c r="HC150" i="7" s="1"/>
  <c r="HD150" i="7" s="1"/>
  <c r="HJ151" i="7" s="1"/>
  <c r="IE152" i="7"/>
  <c r="GZ93" i="7"/>
  <c r="HB93" i="7" s="1"/>
  <c r="HG93" i="7" s="1"/>
  <c r="IE99" i="7"/>
  <c r="GZ89" i="7"/>
  <c r="HB89" i="7" s="1"/>
  <c r="HG89" i="7" s="1"/>
  <c r="HI89" i="7" s="1"/>
  <c r="HI145" i="7"/>
  <c r="HJ109" i="7"/>
  <c r="IA89" i="7"/>
  <c r="IF89" i="7" s="1"/>
  <c r="HB100" i="7"/>
  <c r="HG100" i="7" s="1"/>
  <c r="HJ101" i="7" s="1"/>
  <c r="HH93" i="7"/>
  <c r="HA141" i="7"/>
  <c r="HA152" i="7"/>
  <c r="IA93" i="7"/>
  <c r="IF93" i="7" s="1"/>
  <c r="HA82" i="7"/>
  <c r="HC82" i="7" s="1"/>
  <c r="HD82" i="7" s="1"/>
  <c r="HB75" i="7"/>
  <c r="HG75" i="7" s="1"/>
  <c r="HI75" i="7" s="1"/>
  <c r="IA78" i="7"/>
  <c r="IF78" i="7" s="1"/>
  <c r="IE78" i="7"/>
  <c r="IE98" i="7"/>
  <c r="IA98" i="7"/>
  <c r="IF98" i="7" s="1"/>
  <c r="IE97" i="7"/>
  <c r="IA97" i="7"/>
  <c r="IF97" i="7" s="1"/>
  <c r="IE83" i="7"/>
  <c r="IA83" i="7"/>
  <c r="IF83" i="7" s="1"/>
  <c r="HI112" i="7"/>
  <c r="HI113" i="7"/>
  <c r="IE91" i="7"/>
  <c r="IA91" i="7"/>
  <c r="IF91" i="7" s="1"/>
  <c r="HI152" i="7"/>
  <c r="HI85" i="7"/>
  <c r="HI86" i="7"/>
  <c r="HI149" i="7"/>
  <c r="HI150" i="7"/>
  <c r="HJ87" i="7"/>
  <c r="HJ88" i="7"/>
  <c r="GW103" i="7"/>
  <c r="GZ103" i="7" s="1"/>
  <c r="HB103" i="7" s="1"/>
  <c r="HG103" i="7" s="1"/>
  <c r="HI103" i="7" s="1"/>
  <c r="GU103" i="7"/>
  <c r="HF103" i="7" s="1"/>
  <c r="IE79" i="7"/>
  <c r="IA79" i="7"/>
  <c r="IF79" i="7" s="1"/>
  <c r="HH96" i="7"/>
  <c r="HI146" i="7"/>
  <c r="GW97" i="7"/>
  <c r="GZ97" i="7" s="1"/>
  <c r="HB97" i="7" s="1"/>
  <c r="HG97" i="7" s="1"/>
  <c r="GU97" i="7"/>
  <c r="HF97" i="7" s="1"/>
  <c r="HA112" i="7"/>
  <c r="HC112" i="7" s="1"/>
  <c r="HD112" i="7" s="1"/>
  <c r="HJ113" i="7" s="1"/>
  <c r="CI76" i="7"/>
  <c r="CP76" i="7"/>
  <c r="CV75" i="7"/>
  <c r="HB104" i="7"/>
  <c r="HG104" i="7" s="1"/>
  <c r="HI105" i="7" s="1"/>
  <c r="GW138" i="7"/>
  <c r="GU138" i="7"/>
  <c r="HF138" i="7" s="1"/>
  <c r="HH76" i="7"/>
  <c r="HH77" i="7"/>
  <c r="GW98" i="7"/>
  <c r="GZ98" i="7" s="1"/>
  <c r="HB98" i="7" s="1"/>
  <c r="HG98" i="7" s="1"/>
  <c r="GU98" i="7"/>
  <c r="HF98" i="7" s="1"/>
  <c r="GZ83" i="7"/>
  <c r="HB83" i="7" s="1"/>
  <c r="HG83" i="7" s="1"/>
  <c r="HA143" i="7"/>
  <c r="HC143" i="7" s="1"/>
  <c r="HD143" i="7" s="1"/>
  <c r="HH149" i="7"/>
  <c r="HH150" i="7"/>
  <c r="GZ76" i="7"/>
  <c r="HB76" i="7" s="1"/>
  <c r="HG76" i="7" s="1"/>
  <c r="GZ107" i="7"/>
  <c r="HB107" i="7" s="1"/>
  <c r="HG107" i="7" s="1"/>
  <c r="IE103" i="7"/>
  <c r="IA103" i="7"/>
  <c r="IF103" i="7" s="1"/>
  <c r="BN78" i="7"/>
  <c r="BO78" i="7"/>
  <c r="BQ77" i="7"/>
  <c r="BR76" i="7" s="1"/>
  <c r="BP77" i="7"/>
  <c r="BS77" i="7" s="1"/>
  <c r="BT77" i="7" s="1"/>
  <c r="HG5" i="7"/>
  <c r="IA138" i="7"/>
  <c r="IF138" i="7" s="1"/>
  <c r="IE138" i="7"/>
  <c r="BW75" i="7"/>
  <c r="CC75" i="7" s="1"/>
  <c r="BX75" i="7"/>
  <c r="GW110" i="7"/>
  <c r="GU110" i="7"/>
  <c r="HF110" i="7" s="1"/>
  <c r="HA149" i="7"/>
  <c r="HC149" i="7" s="1"/>
  <c r="HD149" i="7" s="1"/>
  <c r="GU137" i="7"/>
  <c r="HF137" i="7" s="1"/>
  <c r="GW137" i="7"/>
  <c r="GZ137" i="7" s="1"/>
  <c r="HB137" i="7" s="1"/>
  <c r="HG137" i="7" s="1"/>
  <c r="HI137" i="7" s="1"/>
  <c r="IE76" i="7"/>
  <c r="IA76" i="7"/>
  <c r="IF76" i="7" s="1"/>
  <c r="HI144" i="7"/>
  <c r="IE153" i="7"/>
  <c r="IA153" i="7"/>
  <c r="IF153" i="7" s="1"/>
  <c r="BU76" i="7"/>
  <c r="CB76" i="7"/>
  <c r="CQ76" i="7"/>
  <c r="CR76" i="7" s="1"/>
  <c r="BV76" i="7"/>
  <c r="GZ91" i="7"/>
  <c r="HB91" i="7" s="1"/>
  <c r="HG91" i="7" s="1"/>
  <c r="GZ95" i="7"/>
  <c r="HB95" i="7" s="1"/>
  <c r="HG95" i="7" s="1"/>
  <c r="HH83" i="7"/>
  <c r="GW79" i="7"/>
  <c r="GZ79" i="7" s="1"/>
  <c r="HB79" i="7" s="1"/>
  <c r="HG79" i="7" s="1"/>
  <c r="GU79" i="7"/>
  <c r="HF79" i="7" s="1"/>
  <c r="IE155" i="7"/>
  <c r="IA155" i="7"/>
  <c r="HH85" i="7"/>
  <c r="HH86" i="7"/>
  <c r="HH105" i="7"/>
  <c r="HJ128" i="7"/>
  <c r="GZ155" i="7"/>
  <c r="HA155" i="7" s="1"/>
  <c r="HC155" i="7" s="1"/>
  <c r="HD155" i="7" s="1"/>
  <c r="HA85" i="7"/>
  <c r="HC85" i="7" s="1"/>
  <c r="HD85" i="7" s="1"/>
  <c r="HJ85" i="7" s="1"/>
  <c r="HH146" i="7"/>
  <c r="GZ96" i="7"/>
  <c r="HB96" i="7" s="1"/>
  <c r="HG96" i="7" s="1"/>
  <c r="GY137" i="7"/>
  <c r="HI102" i="7"/>
  <c r="HJ102" i="7"/>
  <c r="HA105" i="7"/>
  <c r="HC105" i="7" s="1"/>
  <c r="HD105" i="7" s="1"/>
  <c r="HH155" i="7"/>
  <c r="HH156" i="7"/>
  <c r="HH91" i="7"/>
  <c r="HH92" i="7"/>
  <c r="HH78" i="7"/>
  <c r="GZ78" i="7"/>
  <c r="HA78" i="7" s="1"/>
  <c r="GW153" i="7"/>
  <c r="GZ153" i="7" s="1"/>
  <c r="HB153" i="7" s="1"/>
  <c r="HG153" i="7" s="1"/>
  <c r="GU153" i="7"/>
  <c r="HF153" i="7" s="1"/>
  <c r="HH145" i="7"/>
  <c r="GY78" i="7"/>
  <c r="HA145" i="7"/>
  <c r="HC145" i="7" s="1"/>
  <c r="HD145" i="7" s="1"/>
  <c r="HJ145" i="7" s="1"/>
  <c r="IA110" i="7"/>
  <c r="IF110" i="7" s="1"/>
  <c r="IE110" i="7"/>
  <c r="HA146" i="7"/>
  <c r="HC146" i="7" s="1"/>
  <c r="HD146" i="7" s="1"/>
  <c r="IA137" i="7"/>
  <c r="IF137" i="7" s="1"/>
  <c r="IE137" i="7"/>
  <c r="HH108" i="7"/>
  <c r="HA77" i="7"/>
  <c r="HC77" i="7" s="1"/>
  <c r="HD77" i="7" s="1"/>
  <c r="HH95" i="7"/>
  <c r="HI94" i="7" l="1"/>
  <c r="HI95" i="7"/>
  <c r="HA94" i="7"/>
  <c r="HC94" i="7" s="1"/>
  <c r="HD94" i="7" s="1"/>
  <c r="HA80" i="7"/>
  <c r="HC80" i="7" s="1"/>
  <c r="HD80" i="7" s="1"/>
  <c r="HI148" i="7"/>
  <c r="GZ142" i="7"/>
  <c r="HB142" i="7" s="1"/>
  <c r="HG142" i="7" s="1"/>
  <c r="HH142" i="7"/>
  <c r="HJ147" i="7"/>
  <c r="HJ148" i="7"/>
  <c r="HI101" i="7"/>
  <c r="IA106" i="7"/>
  <c r="IF106" i="7" s="1"/>
  <c r="GW106" i="7"/>
  <c r="GZ106" i="7" s="1"/>
  <c r="HB106" i="7" s="1"/>
  <c r="HG106" i="7" s="1"/>
  <c r="HI106" i="7" s="1"/>
  <c r="HC141" i="7"/>
  <c r="HD141" i="7" s="1"/>
  <c r="HJ141" i="7" s="1"/>
  <c r="HB99" i="7"/>
  <c r="HG99" i="7" s="1"/>
  <c r="HJ100" i="7" s="1"/>
  <c r="HB81" i="7"/>
  <c r="HG81" i="7" s="1"/>
  <c r="HI81" i="7" s="1"/>
  <c r="HC152" i="7"/>
  <c r="HD152" i="7" s="1"/>
  <c r="HJ152" i="7" s="1"/>
  <c r="HI93" i="7"/>
  <c r="HJ150" i="7"/>
  <c r="HJ75" i="7"/>
  <c r="HA93" i="7"/>
  <c r="HC93" i="7" s="1"/>
  <c r="HD93" i="7" s="1"/>
  <c r="HJ93" i="7" s="1"/>
  <c r="HA89" i="7"/>
  <c r="HC89" i="7" s="1"/>
  <c r="HD89" i="7" s="1"/>
  <c r="HJ90" i="7" s="1"/>
  <c r="HI90" i="7"/>
  <c r="HA91" i="7"/>
  <c r="HC91" i="7" s="1"/>
  <c r="HD91" i="7" s="1"/>
  <c r="HJ91" i="7" s="1"/>
  <c r="IE5" i="7"/>
  <c r="HJ86" i="7"/>
  <c r="HB78" i="7"/>
  <c r="HG78" i="7" s="1"/>
  <c r="HI78" i="7" s="1"/>
  <c r="HI97" i="7"/>
  <c r="HA76" i="7"/>
  <c r="HC76" i="7" s="1"/>
  <c r="HD76" i="7" s="1"/>
  <c r="HJ76" i="7" s="1"/>
  <c r="HB155" i="7"/>
  <c r="HG155" i="7" s="1"/>
  <c r="HI155" i="7" s="1"/>
  <c r="HA96" i="7"/>
  <c r="HC96" i="7" s="1"/>
  <c r="HD96" i="7" s="1"/>
  <c r="HI83" i="7"/>
  <c r="HI84" i="7"/>
  <c r="HI80" i="7"/>
  <c r="HI76" i="7"/>
  <c r="HI77" i="7"/>
  <c r="HI98" i="7"/>
  <c r="HI153" i="7"/>
  <c r="HI154" i="7"/>
  <c r="HH79" i="7"/>
  <c r="HA79" i="7"/>
  <c r="HC79" i="7" s="1"/>
  <c r="HD79" i="7" s="1"/>
  <c r="HJ80" i="7" s="1"/>
  <c r="HJ144" i="7"/>
  <c r="HJ149" i="7"/>
  <c r="HH98" i="7"/>
  <c r="HH99" i="7"/>
  <c r="HH103" i="7"/>
  <c r="HH104" i="7"/>
  <c r="BX76" i="7"/>
  <c r="BW76" i="7"/>
  <c r="CC76" i="7" s="1"/>
  <c r="HH80" i="7"/>
  <c r="HC78" i="7"/>
  <c r="HD78" i="7" s="1"/>
  <c r="HJ146" i="7"/>
  <c r="HH110" i="7"/>
  <c r="HH111" i="7"/>
  <c r="HA98" i="7"/>
  <c r="HC98" i="7" s="1"/>
  <c r="HD98" i="7" s="1"/>
  <c r="HH138" i="7"/>
  <c r="HH139" i="7"/>
  <c r="HH97" i="7"/>
  <c r="HA103" i="7"/>
  <c r="HC103" i="7" s="1"/>
  <c r="HD103" i="7" s="1"/>
  <c r="HJ104" i="7" s="1"/>
  <c r="HH153" i="7"/>
  <c r="HH154" i="7"/>
  <c r="HI108" i="7"/>
  <c r="HA97" i="7"/>
  <c r="HC97" i="7" s="1"/>
  <c r="HD97" i="7" s="1"/>
  <c r="CB77" i="7"/>
  <c r="CQ77" i="7"/>
  <c r="CR77" i="7" s="1"/>
  <c r="BU77" i="7"/>
  <c r="BV77" i="7"/>
  <c r="HH106" i="7"/>
  <c r="CO75" i="7"/>
  <c r="BY75" i="7"/>
  <c r="HA153" i="7"/>
  <c r="HC153" i="7" s="1"/>
  <c r="HD153" i="7" s="1"/>
  <c r="HJ112" i="7"/>
  <c r="CI77" i="7"/>
  <c r="CP77" i="7"/>
  <c r="BN79" i="7"/>
  <c r="BO79" i="7"/>
  <c r="BQ78" i="7"/>
  <c r="BR77" i="7" s="1"/>
  <c r="HI104" i="7"/>
  <c r="HA83" i="7"/>
  <c r="HC83" i="7" s="1"/>
  <c r="HD83" i="7" s="1"/>
  <c r="HJ84" i="7" s="1"/>
  <c r="GZ110" i="7"/>
  <c r="HB110" i="7" s="1"/>
  <c r="HG110" i="7" s="1"/>
  <c r="HJ105" i="7"/>
  <c r="GZ138" i="7"/>
  <c r="HB138" i="7" s="1"/>
  <c r="HG138" i="7" s="1"/>
  <c r="HA137" i="7"/>
  <c r="HC137" i="7" s="1"/>
  <c r="HD137" i="7" s="1"/>
  <c r="HJ137" i="7" s="1"/>
  <c r="BP78" i="7"/>
  <c r="BS78" i="7" s="1"/>
  <c r="BT78" i="7" s="1"/>
  <c r="HA95" i="7"/>
  <c r="HC95" i="7" s="1"/>
  <c r="HD95" i="7" s="1"/>
  <c r="HJ95" i="7" s="1"/>
  <c r="CV76" i="7"/>
  <c r="HI96" i="7"/>
  <c r="IF155" i="7"/>
  <c r="B114" i="8"/>
  <c r="HI91" i="7"/>
  <c r="HI92" i="7"/>
  <c r="HH137" i="7"/>
  <c r="HA107" i="7"/>
  <c r="HC107" i="7" s="1"/>
  <c r="HD107" i="7" s="1"/>
  <c r="HJ108" i="7" s="1"/>
  <c r="HK76" i="7"/>
  <c r="HK75" i="7"/>
  <c r="HJ153" i="7" l="1"/>
  <c r="IG5" i="7"/>
  <c r="E19" i="11" s="1"/>
  <c r="HA142" i="7"/>
  <c r="HC142" i="7" s="1"/>
  <c r="HD142" i="7" s="1"/>
  <c r="HJ143" i="7" s="1"/>
  <c r="HI99" i="7"/>
  <c r="HI143" i="7"/>
  <c r="HI142" i="7"/>
  <c r="HJ155" i="7"/>
  <c r="HI82" i="7"/>
  <c r="HJ82" i="7"/>
  <c r="HI100" i="7"/>
  <c r="HJ81" i="7"/>
  <c r="HJ156" i="7"/>
  <c r="HL75" i="7"/>
  <c r="HL76" i="7" s="1"/>
  <c r="CY75" i="7"/>
  <c r="CY76" i="7" s="1"/>
  <c r="CS75" i="7"/>
  <c r="CT75" i="7" s="1"/>
  <c r="CU75" i="7" s="1"/>
  <c r="CW75" i="7"/>
  <c r="CW76" i="7" s="1"/>
  <c r="HJ92" i="7"/>
  <c r="HJ89" i="7"/>
  <c r="HJ94" i="7"/>
  <c r="HJ97" i="7"/>
  <c r="HI156" i="7"/>
  <c r="HJ77" i="7"/>
  <c r="HA110" i="7"/>
  <c r="HC110" i="7" s="1"/>
  <c r="HD110" i="7" s="1"/>
  <c r="HJ110" i="7" s="1"/>
  <c r="HJ98" i="7"/>
  <c r="IF5" i="7"/>
  <c r="B111" i="8" s="1"/>
  <c r="HI107" i="7"/>
  <c r="HJ103" i="7"/>
  <c r="HJ83" i="7"/>
  <c r="HI79" i="7"/>
  <c r="HA138" i="7"/>
  <c r="HC138" i="7" s="1"/>
  <c r="HD138" i="7" s="1"/>
  <c r="HJ139" i="7" s="1"/>
  <c r="HJ78" i="7"/>
  <c r="HJ79" i="7"/>
  <c r="CS76" i="7"/>
  <c r="CT76" i="7" s="1"/>
  <c r="CU76" i="7" s="1"/>
  <c r="CB78" i="7"/>
  <c r="CQ78" i="7"/>
  <c r="CR78" i="7" s="1"/>
  <c r="BU78" i="7"/>
  <c r="BV78" i="7"/>
  <c r="CI78" i="7"/>
  <c r="CP78" i="7"/>
  <c r="BN80" i="7"/>
  <c r="BO80" i="7"/>
  <c r="BQ79" i="7"/>
  <c r="BR78" i="7" s="1"/>
  <c r="BX77" i="7"/>
  <c r="BW77" i="7"/>
  <c r="CC77" i="7" s="1"/>
  <c r="BP79" i="7"/>
  <c r="BS79" i="7" s="1"/>
  <c r="BT79" i="7" s="1"/>
  <c r="HJ154" i="7"/>
  <c r="HA106" i="7"/>
  <c r="HC106" i="7" s="1"/>
  <c r="HD106" i="7" s="1"/>
  <c r="HI138" i="7"/>
  <c r="HI139" i="7"/>
  <c r="HI110" i="7"/>
  <c r="HI111" i="7"/>
  <c r="HJ99" i="7"/>
  <c r="HJ96" i="7"/>
  <c r="CV77" i="7"/>
  <c r="CO76" i="7"/>
  <c r="BY76" i="7"/>
  <c r="HK98" i="7"/>
  <c r="HK93" i="7"/>
  <c r="HK90" i="7"/>
  <c r="HK88" i="7"/>
  <c r="HK137" i="7"/>
  <c r="HK86" i="7"/>
  <c r="HK96" i="7"/>
  <c r="HK102" i="7"/>
  <c r="HK99" i="7"/>
  <c r="HK78" i="7"/>
  <c r="HK97" i="7"/>
  <c r="HK83" i="7"/>
  <c r="HK101" i="7"/>
  <c r="HK105" i="7"/>
  <c r="HK103" i="7"/>
  <c r="HK91" i="7"/>
  <c r="HK94" i="7"/>
  <c r="HK92" i="7"/>
  <c r="HK79" i="7"/>
  <c r="HK104" i="7"/>
  <c r="HK81" i="7"/>
  <c r="HK84" i="7"/>
  <c r="HK77" i="7"/>
  <c r="HK89" i="7"/>
  <c r="HK80" i="7"/>
  <c r="HK87" i="7"/>
  <c r="HK100" i="7"/>
  <c r="HK95" i="7"/>
  <c r="HK82" i="7"/>
  <c r="HK85" i="7"/>
  <c r="HJ142" i="7" l="1"/>
  <c r="CX75" i="7"/>
  <c r="CZ75" i="7" s="1"/>
  <c r="HJ111" i="7"/>
  <c r="CS77" i="7"/>
  <c r="CT77" i="7" s="1"/>
  <c r="CU77" i="7" s="1"/>
  <c r="CY77" i="7"/>
  <c r="CY78" i="7" s="1"/>
  <c r="HL77" i="7"/>
  <c r="HL78" i="7" s="1"/>
  <c r="HL79" i="7" s="1"/>
  <c r="HL80" i="7" s="1"/>
  <c r="HL81" i="7" s="1"/>
  <c r="HL82" i="7" s="1"/>
  <c r="HL83" i="7" s="1"/>
  <c r="HL84" i="7" s="1"/>
  <c r="HL85" i="7" s="1"/>
  <c r="HL86" i="7" s="1"/>
  <c r="HL87" i="7" s="1"/>
  <c r="HL88" i="7" s="1"/>
  <c r="HL89" i="7" s="1"/>
  <c r="HL90" i="7" s="1"/>
  <c r="HL91" i="7" s="1"/>
  <c r="HL92" i="7" s="1"/>
  <c r="HL93" i="7" s="1"/>
  <c r="HL94" i="7" s="1"/>
  <c r="HL95" i="7" s="1"/>
  <c r="HL96" i="7" s="1"/>
  <c r="HL97" i="7" s="1"/>
  <c r="HL98" i="7" s="1"/>
  <c r="HL99" i="7" s="1"/>
  <c r="HL100" i="7" s="1"/>
  <c r="HL101" i="7" s="1"/>
  <c r="HL102" i="7" s="1"/>
  <c r="HL103" i="7" s="1"/>
  <c r="HL104" i="7" s="1"/>
  <c r="HL105" i="7" s="1"/>
  <c r="CW77" i="7"/>
  <c r="CW78" i="7" s="1"/>
  <c r="HJ138" i="7"/>
  <c r="CS78" i="7"/>
  <c r="CT78" i="7" s="1"/>
  <c r="CU78" i="7" s="1"/>
  <c r="CV78" i="7"/>
  <c r="BN81" i="7"/>
  <c r="BO81" i="7"/>
  <c r="BQ80" i="7"/>
  <c r="BP80" i="7"/>
  <c r="BS80" i="7" s="1"/>
  <c r="BT80" i="7" s="1"/>
  <c r="BX78" i="7"/>
  <c r="BW78" i="7"/>
  <c r="CC78" i="7" s="1"/>
  <c r="CB79" i="7"/>
  <c r="CQ79" i="7"/>
  <c r="CR79" i="7" s="1"/>
  <c r="BU79" i="7"/>
  <c r="BV79" i="7"/>
  <c r="HJ106" i="7"/>
  <c r="HJ107" i="7"/>
  <c r="CO77" i="7"/>
  <c r="BY77" i="7"/>
  <c r="CI79" i="7"/>
  <c r="CP79" i="7"/>
  <c r="HK132" i="7"/>
  <c r="HK131" i="7"/>
  <c r="HK155" i="7"/>
  <c r="HK156" i="7"/>
  <c r="HK117" i="7"/>
  <c r="HK130" i="7"/>
  <c r="HK144" i="7"/>
  <c r="HK122" i="7"/>
  <c r="HK124" i="7"/>
  <c r="HK111" i="7"/>
  <c r="HK141" i="7"/>
  <c r="HK143" i="7"/>
  <c r="HK107" i="7"/>
  <c r="HK129" i="7"/>
  <c r="HK128" i="7"/>
  <c r="HK138" i="7"/>
  <c r="HK106" i="7"/>
  <c r="HK136" i="7"/>
  <c r="HK109" i="7"/>
  <c r="HK121" i="7"/>
  <c r="HK119" i="7"/>
  <c r="HK112" i="7"/>
  <c r="HK152" i="7"/>
  <c r="HK114" i="7"/>
  <c r="HK125" i="7"/>
  <c r="HK145" i="7"/>
  <c r="HK113" i="7"/>
  <c r="HK123" i="7"/>
  <c r="HK108" i="7"/>
  <c r="HK147" i="7"/>
  <c r="HK146" i="7"/>
  <c r="HK154" i="7"/>
  <c r="HK118" i="7"/>
  <c r="HK134" i="7"/>
  <c r="HK150" i="7"/>
  <c r="HK115" i="7"/>
  <c r="HK148" i="7"/>
  <c r="HK140" i="7"/>
  <c r="HK127" i="7"/>
  <c r="HK149" i="7"/>
  <c r="HK139" i="7"/>
  <c r="HK126" i="7"/>
  <c r="HK135" i="7"/>
  <c r="HK116" i="7"/>
  <c r="HK151" i="7"/>
  <c r="HK110" i="7"/>
  <c r="HK153" i="7"/>
  <c r="HK133" i="7"/>
  <c r="HK142" i="7"/>
  <c r="HK120" i="7"/>
  <c r="CX76" i="7" l="1"/>
  <c r="CZ76" i="7" s="1"/>
  <c r="BP81" i="7"/>
  <c r="BS81" i="7" s="1"/>
  <c r="BT81" i="7" s="1"/>
  <c r="CY79" i="7"/>
  <c r="CS79" i="7"/>
  <c r="CT79" i="7" s="1"/>
  <c r="CU79" i="7" s="1"/>
  <c r="CQ80" i="7"/>
  <c r="CR80" i="7" s="1"/>
  <c r="CB80" i="7"/>
  <c r="BU80" i="7"/>
  <c r="BV80" i="7"/>
  <c r="CI80" i="7"/>
  <c r="CP80" i="7"/>
  <c r="BX79" i="7"/>
  <c r="BW79" i="7"/>
  <c r="CC79" i="7" s="1"/>
  <c r="BN82" i="7"/>
  <c r="BO82" i="7"/>
  <c r="BQ81" i="7"/>
  <c r="BR80" i="7" s="1"/>
  <c r="CO78" i="7"/>
  <c r="BY78" i="7"/>
  <c r="HL106" i="7"/>
  <c r="HL107" i="7" s="1"/>
  <c r="HL108" i="7" s="1"/>
  <c r="HL109" i="7" s="1"/>
  <c r="HL110" i="7" s="1"/>
  <c r="HL111" i="7" s="1"/>
  <c r="HL112" i="7" s="1"/>
  <c r="HL113" i="7" s="1"/>
  <c r="HL114" i="7" s="1"/>
  <c r="HL115" i="7" s="1"/>
  <c r="HL116" i="7" s="1"/>
  <c r="HL117" i="7" s="1"/>
  <c r="HL118" i="7" s="1"/>
  <c r="HL119" i="7" s="1"/>
  <c r="HL120" i="7" s="1"/>
  <c r="HL121" i="7" s="1"/>
  <c r="HL122" i="7" s="1"/>
  <c r="HL123" i="7" s="1"/>
  <c r="HL124" i="7" s="1"/>
  <c r="HL125" i="7" s="1"/>
  <c r="HL126" i="7" s="1"/>
  <c r="HL127" i="7" s="1"/>
  <c r="HL128" i="7" s="1"/>
  <c r="HL129" i="7" s="1"/>
  <c r="HL130" i="7" s="1"/>
  <c r="HL131" i="7" s="1"/>
  <c r="HL132" i="7" s="1"/>
  <c r="HL133" i="7" s="1"/>
  <c r="HL134" i="7" s="1"/>
  <c r="HL135" i="7" s="1"/>
  <c r="HL136" i="7" s="1"/>
  <c r="HL137" i="7" s="1"/>
  <c r="HL138" i="7" s="1"/>
  <c r="HL139" i="7" s="1"/>
  <c r="HL140" i="7" s="1"/>
  <c r="HL141" i="7" s="1"/>
  <c r="HL142" i="7" s="1"/>
  <c r="HL143" i="7" s="1"/>
  <c r="HL144" i="7" s="1"/>
  <c r="HL145" i="7" s="1"/>
  <c r="HL146" i="7" s="1"/>
  <c r="HL147" i="7" s="1"/>
  <c r="HL148" i="7" s="1"/>
  <c r="HL149" i="7" s="1"/>
  <c r="HL150" i="7" s="1"/>
  <c r="HL151" i="7" s="1"/>
  <c r="HL152" i="7" s="1"/>
  <c r="HL153" i="7" s="1"/>
  <c r="HL154" i="7" s="1"/>
  <c r="HL155" i="7" s="1"/>
  <c r="HL156" i="7" s="1"/>
  <c r="CV79" i="7"/>
  <c r="BR79" i="7"/>
  <c r="CW79" i="7"/>
  <c r="CW80" i="7" l="1"/>
  <c r="CV80" i="7"/>
  <c r="CS80" i="7"/>
  <c r="CT80" i="7" s="1"/>
  <c r="CU80" i="7" s="1"/>
  <c r="CY80" i="7"/>
  <c r="CX77" i="7"/>
  <c r="CX78" i="7" s="1"/>
  <c r="BN83" i="7"/>
  <c r="BO83" i="7"/>
  <c r="BQ82" i="7"/>
  <c r="BR81" i="7" s="1"/>
  <c r="BP82" i="7"/>
  <c r="BS82" i="7" s="1"/>
  <c r="BT82" i="7" s="1"/>
  <c r="CO79" i="7"/>
  <c r="BY79" i="7"/>
  <c r="CB81" i="7"/>
  <c r="CQ81" i="7"/>
  <c r="BU81" i="7"/>
  <c r="BV81" i="7"/>
  <c r="BX80" i="7"/>
  <c r="BW80" i="7"/>
  <c r="CC80" i="7" s="1"/>
  <c r="CI81" i="7"/>
  <c r="CP81" i="7"/>
  <c r="CY81" i="7" l="1"/>
  <c r="CS81" i="7"/>
  <c r="CT81" i="7" s="1"/>
  <c r="CU81" i="7" s="1"/>
  <c r="CZ77" i="7"/>
  <c r="CR81" i="7"/>
  <c r="CV81" i="7"/>
  <c r="CQ82" i="7"/>
  <c r="CB82" i="7"/>
  <c r="BU82" i="7"/>
  <c r="BV82" i="7"/>
  <c r="BW81" i="7"/>
  <c r="CC81" i="7" s="1"/>
  <c r="BX81" i="7"/>
  <c r="CW81" i="7"/>
  <c r="CX79" i="7"/>
  <c r="CZ78" i="7"/>
  <c r="CI82" i="7"/>
  <c r="CP82" i="7"/>
  <c r="CS82" i="7" s="1"/>
  <c r="CT82" i="7" s="1"/>
  <c r="CU82" i="7" s="1"/>
  <c r="BN84" i="7"/>
  <c r="BO84" i="7"/>
  <c r="BQ83" i="7"/>
  <c r="BR82" i="7" s="1"/>
  <c r="CO80" i="7"/>
  <c r="BY80" i="7"/>
  <c r="BP83" i="7"/>
  <c r="BS83" i="7" s="1"/>
  <c r="BT83" i="7" s="1"/>
  <c r="CY82" i="7" l="1"/>
  <c r="CR82" i="7"/>
  <c r="CB83" i="7"/>
  <c r="BU83" i="7"/>
  <c r="CQ83" i="7"/>
  <c r="BV83" i="7"/>
  <c r="CW82" i="7"/>
  <c r="CO81" i="7"/>
  <c r="BY81" i="7"/>
  <c r="BX82" i="7"/>
  <c r="BW82" i="7"/>
  <c r="CC82" i="7" s="1"/>
  <c r="CI83" i="7"/>
  <c r="CP83" i="7"/>
  <c r="BN85" i="7"/>
  <c r="BO85" i="7"/>
  <c r="BQ84" i="7"/>
  <c r="BR83" i="7" s="1"/>
  <c r="CZ79" i="7"/>
  <c r="CX80" i="7"/>
  <c r="BP84" i="7"/>
  <c r="BS84" i="7" s="1"/>
  <c r="BT84" i="7" s="1"/>
  <c r="CV82" i="7"/>
  <c r="CR83" i="7" l="1"/>
  <c r="CS83" i="7"/>
  <c r="CT83" i="7" s="1"/>
  <c r="CU83" i="7" s="1"/>
  <c r="CY83" i="7"/>
  <c r="CQ84" i="7"/>
  <c r="BU84" i="7"/>
  <c r="CB84" i="7"/>
  <c r="BV84" i="7"/>
  <c r="CW83" i="7"/>
  <c r="CV83" i="7"/>
  <c r="CX81" i="7"/>
  <c r="CZ80" i="7"/>
  <c r="BW83" i="7"/>
  <c r="CC83" i="7" s="1"/>
  <c r="BX83" i="7"/>
  <c r="CI84" i="7"/>
  <c r="CP84" i="7"/>
  <c r="CO82" i="7"/>
  <c r="BY82" i="7"/>
  <c r="BN86" i="7"/>
  <c r="BO86" i="7"/>
  <c r="BQ85" i="7"/>
  <c r="BR84" i="7" s="1"/>
  <c r="BP85" i="7"/>
  <c r="BS85" i="7" s="1"/>
  <c r="BT85" i="7" s="1"/>
  <c r="CY84" i="7" l="1"/>
  <c r="BP86" i="7"/>
  <c r="BS86" i="7" s="1"/>
  <c r="BT86" i="7" s="1"/>
  <c r="CR84" i="7"/>
  <c r="CS84" i="7"/>
  <c r="CT84" i="7" s="1"/>
  <c r="CU84" i="7" s="1"/>
  <c r="CW84" i="7"/>
  <c r="CQ85" i="7"/>
  <c r="CR85" i="7" s="1"/>
  <c r="CB85" i="7"/>
  <c r="BV85" i="7"/>
  <c r="BU85" i="7"/>
  <c r="CZ81" i="7"/>
  <c r="CX82" i="7"/>
  <c r="CV84" i="7"/>
  <c r="CO83" i="7"/>
  <c r="BY83" i="7"/>
  <c r="BX84" i="7"/>
  <c r="BW84" i="7"/>
  <c r="CC84" i="7" s="1"/>
  <c r="CI85" i="7"/>
  <c r="CP85" i="7"/>
  <c r="BN87" i="7"/>
  <c r="BO87" i="7"/>
  <c r="BQ86" i="7"/>
  <c r="BR85" i="7" s="1"/>
  <c r="CV85" i="7" l="1"/>
  <c r="CY85" i="7"/>
  <c r="CS85" i="7"/>
  <c r="CT85" i="7" s="1"/>
  <c r="CU85" i="7" s="1"/>
  <c r="BN88" i="7"/>
  <c r="BO88" i="7"/>
  <c r="BQ87" i="7"/>
  <c r="BR86" i="7" s="1"/>
  <c r="CZ82" i="7"/>
  <c r="CX83" i="7"/>
  <c r="BX85" i="7"/>
  <c r="BW85" i="7"/>
  <c r="CC85" i="7" s="1"/>
  <c r="CI86" i="7"/>
  <c r="CP86" i="7"/>
  <c r="BP87" i="7"/>
  <c r="BS87" i="7" s="1"/>
  <c r="BT87" i="7" s="1"/>
  <c r="CB86" i="7"/>
  <c r="BV86" i="7"/>
  <c r="BU86" i="7"/>
  <c r="CQ86" i="7"/>
  <c r="CR86" i="7" s="1"/>
  <c r="CO84" i="7"/>
  <c r="BY84" i="7"/>
  <c r="CW85" i="7"/>
  <c r="CW86" i="7" l="1"/>
  <c r="CY86" i="7"/>
  <c r="BU87" i="7"/>
  <c r="CQ87" i="7"/>
  <c r="CR87" i="7" s="1"/>
  <c r="CB87" i="7"/>
  <c r="BV87" i="7"/>
  <c r="CX84" i="7"/>
  <c r="CZ83" i="7"/>
  <c r="CS86" i="7"/>
  <c r="CT86" i="7" s="1"/>
  <c r="CU86" i="7" s="1"/>
  <c r="CI87" i="7"/>
  <c r="CP87" i="7"/>
  <c r="CO85" i="7"/>
  <c r="BY85" i="7"/>
  <c r="BN89" i="7"/>
  <c r="BO89" i="7"/>
  <c r="BQ88" i="7"/>
  <c r="BR87" i="7" s="1"/>
  <c r="BP88" i="7"/>
  <c r="BS88" i="7" s="1"/>
  <c r="BT88" i="7" s="1"/>
  <c r="CV86" i="7"/>
  <c r="BW86" i="7"/>
  <c r="CC86" i="7" s="1"/>
  <c r="BX86" i="7"/>
  <c r="CV87" i="7" l="1"/>
  <c r="CY87" i="7"/>
  <c r="CS87" i="7"/>
  <c r="CT87" i="7" s="1"/>
  <c r="CU87" i="7" s="1"/>
  <c r="BP89" i="7"/>
  <c r="BS89" i="7" s="1"/>
  <c r="BT89" i="7" s="1"/>
  <c r="CW87" i="7"/>
  <c r="CQ88" i="7"/>
  <c r="CR88" i="7" s="1"/>
  <c r="BU88" i="7"/>
  <c r="CB88" i="7"/>
  <c r="BV88" i="7"/>
  <c r="CO86" i="7"/>
  <c r="BY86" i="7"/>
  <c r="CX85" i="7"/>
  <c r="CZ84" i="7"/>
  <c r="BX87" i="7"/>
  <c r="BW87" i="7"/>
  <c r="CC87" i="7" s="1"/>
  <c r="CI88" i="7"/>
  <c r="CP88" i="7"/>
  <c r="BN90" i="7"/>
  <c r="BO90" i="7"/>
  <c r="BQ89" i="7"/>
  <c r="CY88" i="7" l="1"/>
  <c r="CS88" i="7"/>
  <c r="CT88" i="7" s="1"/>
  <c r="CU88" i="7" s="1"/>
  <c r="BN91" i="7"/>
  <c r="BO91" i="7"/>
  <c r="BQ90" i="7"/>
  <c r="BR89" i="7" s="1"/>
  <c r="CV88" i="7"/>
  <c r="CI89" i="7"/>
  <c r="CP89" i="7"/>
  <c r="CO87" i="7"/>
  <c r="BY87" i="7"/>
  <c r="BU89" i="7"/>
  <c r="BV89" i="7"/>
  <c r="CQ89" i="7"/>
  <c r="CB89" i="7"/>
  <c r="BP90" i="7"/>
  <c r="BS90" i="7" s="1"/>
  <c r="BT90" i="7" s="1"/>
  <c r="CW88" i="7"/>
  <c r="BW88" i="7"/>
  <c r="CC88" i="7" s="1"/>
  <c r="BX88" i="7"/>
  <c r="CZ85" i="7"/>
  <c r="CX86" i="7"/>
  <c r="BR88" i="7"/>
  <c r="CY89" i="7" l="1"/>
  <c r="CR89" i="7"/>
  <c r="BP91" i="7"/>
  <c r="BS91" i="7" s="1"/>
  <c r="BT91" i="7" s="1"/>
  <c r="CS89" i="7"/>
  <c r="CT89" i="7" s="1"/>
  <c r="CU89" i="7" s="1"/>
  <c r="CV89" i="7"/>
  <c r="BV90" i="7"/>
  <c r="CB90" i="7"/>
  <c r="BU90" i="7"/>
  <c r="CQ90" i="7"/>
  <c r="BX89" i="7"/>
  <c r="BW89" i="7"/>
  <c r="CC89" i="7" s="1"/>
  <c r="CX87" i="7"/>
  <c r="CZ86" i="7"/>
  <c r="CI90" i="7"/>
  <c r="CP90" i="7"/>
  <c r="CO88" i="7"/>
  <c r="BY88" i="7"/>
  <c r="CW89" i="7"/>
  <c r="BN92" i="7"/>
  <c r="BO92" i="7"/>
  <c r="BQ91" i="7"/>
  <c r="CR90" i="7" l="1"/>
  <c r="CS90" i="7"/>
  <c r="CT90" i="7" s="1"/>
  <c r="CU90" i="7" s="1"/>
  <c r="CY90" i="7"/>
  <c r="CW90" i="7"/>
  <c r="CI91" i="7"/>
  <c r="CP91" i="7"/>
  <c r="BR90" i="7"/>
  <c r="CO89" i="7"/>
  <c r="BY89" i="7"/>
  <c r="CQ91" i="7"/>
  <c r="CB91" i="7"/>
  <c r="BU91" i="7"/>
  <c r="BV91" i="7"/>
  <c r="BN93" i="7"/>
  <c r="BO93" i="7"/>
  <c r="BQ92" i="7"/>
  <c r="BP92" i="7"/>
  <c r="BS92" i="7" s="1"/>
  <c r="BT92" i="7" s="1"/>
  <c r="CV90" i="7"/>
  <c r="CZ87" i="7"/>
  <c r="CX88" i="7"/>
  <c r="BW90" i="7"/>
  <c r="CC90" i="7" s="1"/>
  <c r="BX90" i="7"/>
  <c r="CR91" i="7" l="1"/>
  <c r="CO90" i="7"/>
  <c r="BY90" i="7"/>
  <c r="BP93" i="7"/>
  <c r="BS93" i="7" s="1"/>
  <c r="BT93" i="7" s="1"/>
  <c r="CZ88" i="7"/>
  <c r="CX89" i="7"/>
  <c r="BU92" i="7"/>
  <c r="CB92" i="7"/>
  <c r="CQ92" i="7"/>
  <c r="CR92" i="7" s="1"/>
  <c r="BV92" i="7"/>
  <c r="BN94" i="7"/>
  <c r="BO94" i="7"/>
  <c r="BQ93" i="7"/>
  <c r="BR92" i="7" s="1"/>
  <c r="CY91" i="7"/>
  <c r="CS91" i="7"/>
  <c r="CT91" i="7" s="1"/>
  <c r="CU91" i="7" s="1"/>
  <c r="CW91" i="7"/>
  <c r="BW91" i="7"/>
  <c r="CC91" i="7" s="1"/>
  <c r="BX91" i="7"/>
  <c r="CI92" i="7"/>
  <c r="CP92" i="7"/>
  <c r="BR91" i="7"/>
  <c r="CV91" i="7"/>
  <c r="CY92" i="7" l="1"/>
  <c r="CS92" i="7"/>
  <c r="CT92" i="7" s="1"/>
  <c r="CU92" i="7" s="1"/>
  <c r="CZ89" i="7"/>
  <c r="CX90" i="7"/>
  <c r="BN95" i="7"/>
  <c r="BO95" i="7"/>
  <c r="BQ94" i="7"/>
  <c r="BP94" i="7"/>
  <c r="BS94" i="7" s="1"/>
  <c r="BT94" i="7" s="1"/>
  <c r="CO91" i="7"/>
  <c r="BY91" i="7"/>
  <c r="CI93" i="7"/>
  <c r="CP93" i="7"/>
  <c r="BW92" i="7"/>
  <c r="CC92" i="7" s="1"/>
  <c r="BX92" i="7"/>
  <c r="BU93" i="7"/>
  <c r="CQ93" i="7"/>
  <c r="CR93" i="7" s="1"/>
  <c r="BV93" i="7"/>
  <c r="CB93" i="7"/>
  <c r="CV92" i="7"/>
  <c r="CW92" i="7"/>
  <c r="CW93" i="7" l="1"/>
  <c r="CV93" i="7"/>
  <c r="CS93" i="7"/>
  <c r="CT93" i="7" s="1"/>
  <c r="CU93" i="7" s="1"/>
  <c r="CB94" i="7"/>
  <c r="BU94" i="7"/>
  <c r="CQ94" i="7"/>
  <c r="CR94" i="7" s="1"/>
  <c r="BV94" i="7"/>
  <c r="CO92" i="7"/>
  <c r="BY92" i="7"/>
  <c r="BN96" i="7"/>
  <c r="BO96" i="7"/>
  <c r="BQ95" i="7"/>
  <c r="BR94" i="7" s="1"/>
  <c r="CI94" i="7"/>
  <c r="CP94" i="7"/>
  <c r="BP95" i="7"/>
  <c r="BS95" i="7" s="1"/>
  <c r="BT95" i="7" s="1"/>
  <c r="BX93" i="7"/>
  <c r="BW93" i="7"/>
  <c r="CC93" i="7" s="1"/>
  <c r="BR93" i="7"/>
  <c r="CZ90" i="7"/>
  <c r="CX91" i="7"/>
  <c r="CY93" i="7"/>
  <c r="CW94" i="7" l="1"/>
  <c r="CV94" i="7"/>
  <c r="CB95" i="7"/>
  <c r="CQ95" i="7"/>
  <c r="CR95" i="7" s="1"/>
  <c r="BU95" i="7"/>
  <c r="BV95" i="7"/>
  <c r="CY94" i="7"/>
  <c r="CO93" i="7"/>
  <c r="BY93" i="7"/>
  <c r="CZ91" i="7"/>
  <c r="CX92" i="7"/>
  <c r="CI95" i="7"/>
  <c r="CP95" i="7"/>
  <c r="BW94" i="7"/>
  <c r="CC94" i="7" s="1"/>
  <c r="BX94" i="7"/>
  <c r="BN97" i="7"/>
  <c r="BO97" i="7"/>
  <c r="BQ96" i="7"/>
  <c r="BR95" i="7" s="1"/>
  <c r="CS94" i="7"/>
  <c r="CT94" i="7" s="1"/>
  <c r="CU94" i="7" s="1"/>
  <c r="BP96" i="7"/>
  <c r="BS96" i="7" s="1"/>
  <c r="BT96" i="7" s="1"/>
  <c r="CY95" i="7" l="1"/>
  <c r="CV95" i="7"/>
  <c r="CB96" i="7"/>
  <c r="CQ96" i="7"/>
  <c r="CR96" i="7" s="1"/>
  <c r="BU96" i="7"/>
  <c r="BV96" i="7"/>
  <c r="BW95" i="7"/>
  <c r="CC95" i="7" s="1"/>
  <c r="BX95" i="7"/>
  <c r="BP97" i="7"/>
  <c r="BS97" i="7" s="1"/>
  <c r="BT97" i="7" s="1"/>
  <c r="CZ92" i="7"/>
  <c r="CX93" i="7"/>
  <c r="BN98" i="7"/>
  <c r="BO98" i="7"/>
  <c r="BQ97" i="7"/>
  <c r="CI96" i="7"/>
  <c r="CP96" i="7"/>
  <c r="CO94" i="7"/>
  <c r="BY94" i="7"/>
  <c r="CS95" i="7"/>
  <c r="CT95" i="7" s="1"/>
  <c r="CU95" i="7" s="1"/>
  <c r="CW95" i="7"/>
  <c r="CW96" i="7" l="1"/>
  <c r="CY96" i="7"/>
  <c r="CS96" i="7"/>
  <c r="CT96" i="7" s="1"/>
  <c r="CU96" i="7" s="1"/>
  <c r="BP98" i="7"/>
  <c r="BS98" i="7" s="1"/>
  <c r="BT98" i="7" s="1"/>
  <c r="BN99" i="7"/>
  <c r="BO99" i="7"/>
  <c r="BQ98" i="7"/>
  <c r="CO95" i="7"/>
  <c r="BY95" i="7"/>
  <c r="CI97" i="7"/>
  <c r="CP97" i="7"/>
  <c r="CQ97" i="7"/>
  <c r="CR97" i="7" s="1"/>
  <c r="BU97" i="7"/>
  <c r="CB97" i="7"/>
  <c r="BV97" i="7"/>
  <c r="CV96" i="7"/>
  <c r="CZ93" i="7"/>
  <c r="CX94" i="7"/>
  <c r="BX96" i="7"/>
  <c r="BW96" i="7"/>
  <c r="CC96" i="7" s="1"/>
  <c r="BR96" i="7"/>
  <c r="CW97" i="7" l="1"/>
  <c r="CV97" i="7"/>
  <c r="CY97" i="7"/>
  <c r="BV98" i="7"/>
  <c r="BU98" i="7"/>
  <c r="CQ98" i="7"/>
  <c r="CR98" i="7" s="1"/>
  <c r="CB98" i="7"/>
  <c r="BW97" i="7"/>
  <c r="CC97" i="7" s="1"/>
  <c r="BX97" i="7"/>
  <c r="CI98" i="7"/>
  <c r="CP98" i="7"/>
  <c r="BN100" i="7"/>
  <c r="BO100" i="7"/>
  <c r="BQ99" i="7"/>
  <c r="BR98" i="7" s="1"/>
  <c r="CO96" i="7"/>
  <c r="BY96" i="7"/>
  <c r="CZ94" i="7"/>
  <c r="CX95" i="7"/>
  <c r="CS97" i="7"/>
  <c r="CT97" i="7" s="1"/>
  <c r="CU97" i="7" s="1"/>
  <c r="BR97" i="7"/>
  <c r="BP99" i="7"/>
  <c r="BS99" i="7" s="1"/>
  <c r="BT99" i="7" s="1"/>
  <c r="BP100" i="7" l="1"/>
  <c r="BS100" i="7" s="1"/>
  <c r="BT100" i="7" s="1"/>
  <c r="CS98" i="7"/>
  <c r="CT98" i="7" s="1"/>
  <c r="CU98" i="7" s="1"/>
  <c r="CX96" i="7"/>
  <c r="CZ95" i="7"/>
  <c r="CV98" i="7"/>
  <c r="BW98" i="7"/>
  <c r="CC98" i="7" s="1"/>
  <c r="BX98" i="7"/>
  <c r="CI99" i="7"/>
  <c r="CP99" i="7"/>
  <c r="CQ99" i="7"/>
  <c r="CR99" i="7" s="1"/>
  <c r="CB99" i="7"/>
  <c r="BU99" i="7"/>
  <c r="BV99" i="7"/>
  <c r="CW98" i="7"/>
  <c r="CY98" i="7"/>
  <c r="BN101" i="7"/>
  <c r="BO101" i="7"/>
  <c r="BQ100" i="7"/>
  <c r="BR99" i="7" s="1"/>
  <c r="CO97" i="7"/>
  <c r="BY97" i="7"/>
  <c r="CW99" i="7" l="1"/>
  <c r="CV99" i="7"/>
  <c r="CQ100" i="7"/>
  <c r="CR100" i="7" s="1"/>
  <c r="BU100" i="7"/>
  <c r="BV100" i="7"/>
  <c r="CB100" i="7"/>
  <c r="CO98" i="7"/>
  <c r="BY98" i="7"/>
  <c r="BN102" i="7"/>
  <c r="BQ101" i="7"/>
  <c r="BO102" i="7"/>
  <c r="CZ96" i="7"/>
  <c r="CX97" i="7"/>
  <c r="BX99" i="7"/>
  <c r="BW99" i="7"/>
  <c r="CC99" i="7" s="1"/>
  <c r="CI100" i="7"/>
  <c r="CP100" i="7"/>
  <c r="BP101" i="7"/>
  <c r="BS101" i="7" s="1"/>
  <c r="BT101" i="7" s="1"/>
  <c r="CS99" i="7"/>
  <c r="CT99" i="7" s="1"/>
  <c r="CU99" i="7" s="1"/>
  <c r="CY99" i="7"/>
  <c r="CY100" i="7" s="1"/>
  <c r="CS100" i="7" l="1"/>
  <c r="CT100" i="7" s="1"/>
  <c r="CU100" i="7" s="1"/>
  <c r="CV100" i="7"/>
  <c r="CB101" i="7"/>
  <c r="CQ101" i="7"/>
  <c r="CY101" i="7" s="1"/>
  <c r="BV101" i="7"/>
  <c r="BU101" i="7"/>
  <c r="CZ97" i="7"/>
  <c r="CX98" i="7"/>
  <c r="CO99" i="7"/>
  <c r="BY99" i="7"/>
  <c r="BN103" i="7"/>
  <c r="BO103" i="7"/>
  <c r="BQ102" i="7"/>
  <c r="BW100" i="7"/>
  <c r="CC100" i="7" s="1"/>
  <c r="BX100" i="7"/>
  <c r="CI101" i="7"/>
  <c r="CP101" i="7"/>
  <c r="BP102" i="7"/>
  <c r="BS102" i="7" s="1"/>
  <c r="BT102" i="7" s="1"/>
  <c r="BR100" i="7"/>
  <c r="CW100" i="7"/>
  <c r="CR101" i="7"/>
  <c r="CW101" i="7" l="1"/>
  <c r="CS101" i="7"/>
  <c r="CT101" i="7" s="1"/>
  <c r="CU101" i="7" s="1"/>
  <c r="CQ102" i="7"/>
  <c r="CY102" i="7" s="1"/>
  <c r="CB102" i="7"/>
  <c r="BU102" i="7"/>
  <c r="BV102" i="7"/>
  <c r="CV101" i="7"/>
  <c r="CO100" i="7"/>
  <c r="BY100" i="7"/>
  <c r="CZ98" i="7"/>
  <c r="CX99" i="7"/>
  <c r="CI102" i="7"/>
  <c r="CP102" i="7"/>
  <c r="BN104" i="7"/>
  <c r="BO104" i="7"/>
  <c r="BQ103" i="7"/>
  <c r="BR102" i="7" s="1"/>
  <c r="BP103" i="7"/>
  <c r="BS103" i="7" s="1"/>
  <c r="BT103" i="7" s="1"/>
  <c r="BX101" i="7"/>
  <c r="BW101" i="7"/>
  <c r="CC101" i="7" s="1"/>
  <c r="BR101" i="7"/>
  <c r="CR102" i="7" l="1"/>
  <c r="CS102" i="7"/>
  <c r="CT102" i="7" s="1"/>
  <c r="CU102" i="7" s="1"/>
  <c r="BU103" i="7"/>
  <c r="BV103" i="7"/>
  <c r="CB103" i="7"/>
  <c r="CQ103" i="7"/>
  <c r="CR103" i="7" s="1"/>
  <c r="CW102" i="7"/>
  <c r="CO101" i="7"/>
  <c r="BY101" i="7"/>
  <c r="CX100" i="7"/>
  <c r="CZ99" i="7"/>
  <c r="BW102" i="7"/>
  <c r="CC102" i="7" s="1"/>
  <c r="BX102" i="7"/>
  <c r="CV102" i="7"/>
  <c r="CI103" i="7"/>
  <c r="CP103" i="7"/>
  <c r="BN105" i="7"/>
  <c r="BO105" i="7"/>
  <c r="BQ104" i="7"/>
  <c r="BR103" i="7" s="1"/>
  <c r="BP104" i="7"/>
  <c r="BS104" i="7" s="1"/>
  <c r="BT104" i="7" s="1"/>
  <c r="CS103" i="7" l="1"/>
  <c r="CT103" i="7" s="1"/>
  <c r="CU103" i="7" s="1"/>
  <c r="CY103" i="7"/>
  <c r="CW103" i="7"/>
  <c r="CV103" i="7"/>
  <c r="BU104" i="7"/>
  <c r="CQ104" i="7"/>
  <c r="CR104" i="7" s="1"/>
  <c r="CB104" i="7"/>
  <c r="BV104" i="7"/>
  <c r="BN106" i="7"/>
  <c r="BO106" i="7"/>
  <c r="BQ105" i="7"/>
  <c r="BP105" i="7"/>
  <c r="BS105" i="7" s="1"/>
  <c r="BT105" i="7" s="1"/>
  <c r="BW103" i="7"/>
  <c r="CC103" i="7" s="1"/>
  <c r="BX103" i="7"/>
  <c r="CI104" i="7"/>
  <c r="CP104" i="7"/>
  <c r="CO102" i="7"/>
  <c r="BY102" i="7"/>
  <c r="CZ100" i="7"/>
  <c r="CX101" i="7"/>
  <c r="CY104" i="7" l="1"/>
  <c r="CS104" i="7"/>
  <c r="CT104" i="7" s="1"/>
  <c r="CU104" i="7" s="1"/>
  <c r="BP106" i="7"/>
  <c r="BS106" i="7" s="1"/>
  <c r="BT106" i="7" s="1"/>
  <c r="CV104" i="7"/>
  <c r="BU105" i="7"/>
  <c r="CB105" i="7"/>
  <c r="CQ105" i="7"/>
  <c r="CR105" i="7" s="1"/>
  <c r="BV105" i="7"/>
  <c r="CO103" i="7"/>
  <c r="BY103" i="7"/>
  <c r="CW104" i="7"/>
  <c r="BX104" i="7"/>
  <c r="BW104" i="7"/>
  <c r="CC104" i="7" s="1"/>
  <c r="CZ101" i="7"/>
  <c r="CX102" i="7"/>
  <c r="CI105" i="7"/>
  <c r="CP105" i="7"/>
  <c r="BR104" i="7"/>
  <c r="BN107" i="7"/>
  <c r="BO107" i="7"/>
  <c r="BQ106" i="7"/>
  <c r="BR105" i="7" s="1"/>
  <c r="CS105" i="7" l="1"/>
  <c r="CT105" i="7" s="1"/>
  <c r="CU105" i="7" s="1"/>
  <c r="CY105" i="7"/>
  <c r="BP107" i="7"/>
  <c r="BS107" i="7" s="1"/>
  <c r="BT107" i="7" s="1"/>
  <c r="BN108" i="7"/>
  <c r="BO108" i="7"/>
  <c r="BQ107" i="7"/>
  <c r="BR106" i="7" s="1"/>
  <c r="CZ102" i="7"/>
  <c r="CX103" i="7"/>
  <c r="CB106" i="7"/>
  <c r="CQ106" i="7"/>
  <c r="CR106" i="7" s="1"/>
  <c r="BU106" i="7"/>
  <c r="BV106" i="7"/>
  <c r="BX105" i="7"/>
  <c r="BW105" i="7"/>
  <c r="CC105" i="7" s="1"/>
  <c r="CO104" i="7"/>
  <c r="BY104" i="7"/>
  <c r="CI106" i="7"/>
  <c r="CP106" i="7"/>
  <c r="CW105" i="7"/>
  <c r="CV105" i="7"/>
  <c r="CZ103" i="7" l="1"/>
  <c r="CX104" i="7"/>
  <c r="CV106" i="7"/>
  <c r="CW106" i="7"/>
  <c r="CY106" i="7"/>
  <c r="CO105" i="7"/>
  <c r="BY105" i="7"/>
  <c r="CI107" i="7"/>
  <c r="CP107" i="7"/>
  <c r="CQ107" i="7"/>
  <c r="CR107" i="7" s="1"/>
  <c r="CB107" i="7"/>
  <c r="BU107" i="7"/>
  <c r="BV107" i="7"/>
  <c r="BN109" i="7"/>
  <c r="BO109" i="7"/>
  <c r="BQ108" i="7"/>
  <c r="CS106" i="7"/>
  <c r="CT106" i="7" s="1"/>
  <c r="CU106" i="7" s="1"/>
  <c r="BX106" i="7"/>
  <c r="BW106" i="7"/>
  <c r="CC106" i="7" s="1"/>
  <c r="BP108" i="7"/>
  <c r="BS108" i="7" s="1"/>
  <c r="BT108" i="7" s="1"/>
  <c r="CY107" i="7" l="1"/>
  <c r="CS107" i="7"/>
  <c r="CT107" i="7" s="1"/>
  <c r="CU107" i="7" s="1"/>
  <c r="CB108" i="7"/>
  <c r="BU108" i="7"/>
  <c r="CQ108" i="7"/>
  <c r="CR108" i="7" s="1"/>
  <c r="BV108" i="7"/>
  <c r="CW107" i="7"/>
  <c r="CO106" i="7"/>
  <c r="BY106" i="7"/>
  <c r="CI108" i="7"/>
  <c r="CP108" i="7"/>
  <c r="CV107" i="7"/>
  <c r="BW107" i="7"/>
  <c r="CC107" i="7" s="1"/>
  <c r="BX107" i="7"/>
  <c r="BN110" i="7"/>
  <c r="BO110" i="7"/>
  <c r="BQ109" i="7"/>
  <c r="BR108" i="7" s="1"/>
  <c r="BR107" i="7"/>
  <c r="CZ104" i="7"/>
  <c r="CX105" i="7"/>
  <c r="BP109" i="7"/>
  <c r="BS109" i="7" s="1"/>
  <c r="BT109" i="7" s="1"/>
  <c r="CS108" i="7" l="1"/>
  <c r="CT108" i="7" s="1"/>
  <c r="CU108" i="7" s="1"/>
  <c r="CY108" i="7"/>
  <c r="CW108" i="7"/>
  <c r="CV108" i="7"/>
  <c r="CQ109" i="7"/>
  <c r="CR109" i="7" s="1"/>
  <c r="BU109" i="7"/>
  <c r="BV109" i="7"/>
  <c r="CB109" i="7"/>
  <c r="BN111" i="7"/>
  <c r="BO111" i="7"/>
  <c r="BQ110" i="7"/>
  <c r="BR109" i="7" s="1"/>
  <c r="CZ105" i="7"/>
  <c r="CX106" i="7"/>
  <c r="BP110" i="7"/>
  <c r="BS110" i="7" s="1"/>
  <c r="BT110" i="7" s="1"/>
  <c r="CI109" i="7"/>
  <c r="CP109" i="7"/>
  <c r="BX108" i="7"/>
  <c r="BW108" i="7"/>
  <c r="CC108" i="7" s="1"/>
  <c r="CO107" i="7"/>
  <c r="BY107" i="7"/>
  <c r="CS109" i="7" l="1"/>
  <c r="CT109" i="7" s="1"/>
  <c r="CU109" i="7" s="1"/>
  <c r="BP111" i="7"/>
  <c r="BS111" i="7" s="1"/>
  <c r="BT111" i="7" s="1"/>
  <c r="CV109" i="7"/>
  <c r="CY109" i="7"/>
  <c r="CB110" i="7"/>
  <c r="BU110" i="7"/>
  <c r="CQ110" i="7"/>
  <c r="CR110" i="7" s="1"/>
  <c r="BV110" i="7"/>
  <c r="CZ106" i="7"/>
  <c r="CX107" i="7"/>
  <c r="CO108" i="7"/>
  <c r="BY108" i="7"/>
  <c r="CW109" i="7"/>
  <c r="BX109" i="7"/>
  <c r="BW109" i="7"/>
  <c r="CC109" i="7" s="1"/>
  <c r="CI110" i="7"/>
  <c r="CP110" i="7"/>
  <c r="BN112" i="7"/>
  <c r="BO112" i="7"/>
  <c r="BQ111" i="7"/>
  <c r="CW110" i="7" l="1"/>
  <c r="CY110" i="7"/>
  <c r="CS110" i="7"/>
  <c r="CT110" i="7" s="1"/>
  <c r="CU110" i="7" s="1"/>
  <c r="CO109" i="7"/>
  <c r="BY109" i="7"/>
  <c r="CV110" i="7"/>
  <c r="CB111" i="7"/>
  <c r="CQ111" i="7"/>
  <c r="CR111" i="7" s="1"/>
  <c r="BU111" i="7"/>
  <c r="BV111" i="7"/>
  <c r="BW110" i="7"/>
  <c r="CC110" i="7" s="1"/>
  <c r="BX110" i="7"/>
  <c r="CI111" i="7"/>
  <c r="CP111" i="7"/>
  <c r="BN113" i="7"/>
  <c r="BO113" i="7"/>
  <c r="BQ112" i="7"/>
  <c r="BR111" i="7" s="1"/>
  <c r="BP112" i="7"/>
  <c r="BS112" i="7" s="1"/>
  <c r="BT112" i="7" s="1"/>
  <c r="BR110" i="7"/>
  <c r="CZ107" i="7"/>
  <c r="CX108" i="7"/>
  <c r="CO110" i="7" l="1"/>
  <c r="BY110" i="7"/>
  <c r="BP113" i="7"/>
  <c r="BS113" i="7" s="1"/>
  <c r="BT113" i="7" s="1"/>
  <c r="CS111" i="7"/>
  <c r="CT111" i="7" s="1"/>
  <c r="CU111" i="7" s="1"/>
  <c r="CY111" i="7"/>
  <c r="CB112" i="7"/>
  <c r="CQ112" i="7"/>
  <c r="CR112" i="7" s="1"/>
  <c r="BU112" i="7"/>
  <c r="BV112" i="7"/>
  <c r="CZ108" i="7"/>
  <c r="CX109" i="7"/>
  <c r="BW111" i="7"/>
  <c r="CC111" i="7" s="1"/>
  <c r="BX111" i="7"/>
  <c r="CW111" i="7"/>
  <c r="CI112" i="7"/>
  <c r="CP112" i="7"/>
  <c r="BN114" i="7"/>
  <c r="BQ113" i="7"/>
  <c r="BR112" i="7" s="1"/>
  <c r="BO114" i="7"/>
  <c r="CV111" i="7"/>
  <c r="CO111" i="7" l="1"/>
  <c r="BY111" i="7"/>
  <c r="CY112" i="7"/>
  <c r="CS112" i="7"/>
  <c r="CT112" i="7" s="1"/>
  <c r="CU112" i="7" s="1"/>
  <c r="CZ109" i="7"/>
  <c r="CX110" i="7"/>
  <c r="CV112" i="7"/>
  <c r="BN115" i="7"/>
  <c r="BQ114" i="7"/>
  <c r="BO115" i="7"/>
  <c r="CI113" i="7"/>
  <c r="CP113" i="7"/>
  <c r="CB113" i="7"/>
  <c r="CQ113" i="7"/>
  <c r="BV113" i="7"/>
  <c r="BU113" i="7"/>
  <c r="CW112" i="7"/>
  <c r="BW112" i="7"/>
  <c r="CC112" i="7" s="1"/>
  <c r="BX112" i="7"/>
  <c r="BP114" i="7"/>
  <c r="BS114" i="7" s="1"/>
  <c r="BT114" i="7" s="1"/>
  <c r="CO112" i="7" l="1"/>
  <c r="BY112" i="7"/>
  <c r="CY113" i="7"/>
  <c r="CS113" i="7"/>
  <c r="CT113" i="7" s="1"/>
  <c r="CU113" i="7" s="1"/>
  <c r="BP115" i="7"/>
  <c r="BS115" i="7" s="1"/>
  <c r="BT115" i="7" s="1"/>
  <c r="CQ114" i="7"/>
  <c r="CB114" i="7"/>
  <c r="BU114" i="7"/>
  <c r="BV114" i="7"/>
  <c r="BN116" i="7"/>
  <c r="BQ115" i="7"/>
  <c r="BR114" i="7" s="1"/>
  <c r="BO116" i="7"/>
  <c r="BW113" i="7"/>
  <c r="CC113" i="7" s="1"/>
  <c r="BX113" i="7"/>
  <c r="CI114" i="7"/>
  <c r="CP114" i="7"/>
  <c r="CR113" i="7"/>
  <c r="CV113" i="7"/>
  <c r="CZ110" i="7"/>
  <c r="CX111" i="7"/>
  <c r="BR113" i="7"/>
  <c r="CW113" i="7"/>
  <c r="CO113" i="7" l="1"/>
  <c r="BY113" i="7"/>
  <c r="CR114" i="7"/>
  <c r="CS114" i="7"/>
  <c r="CT114" i="7" s="1"/>
  <c r="CU114" i="7" s="1"/>
  <c r="CY114" i="7"/>
  <c r="BP116" i="7"/>
  <c r="BS116" i="7" s="1"/>
  <c r="BT116" i="7" s="1"/>
  <c r="CB115" i="7"/>
  <c r="CQ115" i="7"/>
  <c r="BU115" i="7"/>
  <c r="BV115" i="7"/>
  <c r="CI115" i="7"/>
  <c r="CP115" i="7"/>
  <c r="CX112" i="7"/>
  <c r="CZ111" i="7"/>
  <c r="CW114" i="7"/>
  <c r="BX114" i="7"/>
  <c r="BW114" i="7"/>
  <c r="CC114" i="7" s="1"/>
  <c r="CV114" i="7"/>
  <c r="BN117" i="7"/>
  <c r="BQ116" i="7"/>
  <c r="BO117" i="7"/>
  <c r="CR115" i="7" l="1"/>
  <c r="CO114" i="7"/>
  <c r="BY114" i="7"/>
  <c r="CY115" i="7"/>
  <c r="CW115" i="7"/>
  <c r="CQ116" i="7"/>
  <c r="CB116" i="7"/>
  <c r="BU116" i="7"/>
  <c r="BV116" i="7"/>
  <c r="BX115" i="7"/>
  <c r="BW115" i="7"/>
  <c r="CC115" i="7" s="1"/>
  <c r="CI116" i="7"/>
  <c r="CP116" i="7"/>
  <c r="BN118" i="7"/>
  <c r="BO118" i="7"/>
  <c r="BQ117" i="7"/>
  <c r="BR116" i="7" s="1"/>
  <c r="BP117" i="7"/>
  <c r="BS117" i="7" s="1"/>
  <c r="BT117" i="7" s="1"/>
  <c r="CZ112" i="7"/>
  <c r="CX113" i="7"/>
  <c r="CS115" i="7"/>
  <c r="CT115" i="7" s="1"/>
  <c r="CU115" i="7" s="1"/>
  <c r="CV115" i="7"/>
  <c r="BR115" i="7"/>
  <c r="CY116" i="7" l="1"/>
  <c r="CR116" i="7"/>
  <c r="CS116" i="7"/>
  <c r="CT116" i="7" s="1"/>
  <c r="CU116" i="7" s="1"/>
  <c r="CV116" i="7"/>
  <c r="CO115" i="7"/>
  <c r="BY115" i="7"/>
  <c r="BP118" i="7"/>
  <c r="BS118" i="7" s="1"/>
  <c r="BT118" i="7" s="1"/>
  <c r="BN119" i="7"/>
  <c r="BQ118" i="7"/>
  <c r="BR117" i="7" s="1"/>
  <c r="BO119" i="7"/>
  <c r="CQ117" i="7"/>
  <c r="CB117" i="7"/>
  <c r="BV117" i="7"/>
  <c r="BU117" i="7"/>
  <c r="BX116" i="7"/>
  <c r="BW116" i="7"/>
  <c r="CC116" i="7" s="1"/>
  <c r="CZ113" i="7"/>
  <c r="CX114" i="7"/>
  <c r="CI117" i="7"/>
  <c r="CP117" i="7"/>
  <c r="CV117" i="7" s="1"/>
  <c r="CW116" i="7"/>
  <c r="CY117" i="7" l="1"/>
  <c r="CO116" i="7"/>
  <c r="BY116" i="7"/>
  <c r="CW117" i="7"/>
  <c r="BP119" i="7"/>
  <c r="BS119" i="7" s="1"/>
  <c r="BT119" i="7" s="1"/>
  <c r="CZ114" i="7"/>
  <c r="CX115" i="7"/>
  <c r="CR117" i="7"/>
  <c r="BN120" i="7"/>
  <c r="BQ119" i="7"/>
  <c r="BO120" i="7"/>
  <c r="CS117" i="7"/>
  <c r="CT117" i="7" s="1"/>
  <c r="CU117" i="7" s="1"/>
  <c r="BU118" i="7"/>
  <c r="CB118" i="7"/>
  <c r="CQ118" i="7"/>
  <c r="BV118" i="7"/>
  <c r="CI118" i="7"/>
  <c r="CP118" i="7"/>
  <c r="BW117" i="7"/>
  <c r="CC117" i="7" s="1"/>
  <c r="BX117" i="7"/>
  <c r="CY118" i="7" l="1"/>
  <c r="CO117" i="7"/>
  <c r="BY117" i="7"/>
  <c r="CW118" i="7"/>
  <c r="CI119" i="7"/>
  <c r="CP119" i="7"/>
  <c r="CR118" i="7"/>
  <c r="BP120" i="7"/>
  <c r="BS120" i="7" s="1"/>
  <c r="BT120" i="7" s="1"/>
  <c r="BN121" i="7"/>
  <c r="BQ120" i="7"/>
  <c r="BR119" i="7" s="1"/>
  <c r="BO121" i="7"/>
  <c r="BW118" i="7"/>
  <c r="CC118" i="7" s="1"/>
  <c r="BX118" i="7"/>
  <c r="CS118" i="7"/>
  <c r="CT118" i="7" s="1"/>
  <c r="CU118" i="7" s="1"/>
  <c r="CB119" i="7"/>
  <c r="BU119" i="7"/>
  <c r="CQ119" i="7"/>
  <c r="BV119" i="7"/>
  <c r="CZ115" i="7"/>
  <c r="CX116" i="7"/>
  <c r="BR118" i="7"/>
  <c r="CV118" i="7"/>
  <c r="CV119" i="7" l="1"/>
  <c r="CY119" i="7"/>
  <c r="CO118" i="7"/>
  <c r="BY118" i="7"/>
  <c r="CW119" i="7"/>
  <c r="CR119" i="7"/>
  <c r="CS119" i="7"/>
  <c r="CT119" i="7" s="1"/>
  <c r="CU119" i="7" s="1"/>
  <c r="BU120" i="7"/>
  <c r="CQ120" i="7"/>
  <c r="CB120" i="7"/>
  <c r="BV120" i="7"/>
  <c r="BN122" i="7"/>
  <c r="BQ121" i="7"/>
  <c r="BO122" i="7"/>
  <c r="BX119" i="7"/>
  <c r="BW119" i="7"/>
  <c r="CC119" i="7" s="1"/>
  <c r="CI120" i="7"/>
  <c r="CP120" i="7"/>
  <c r="CZ116" i="7"/>
  <c r="CX117" i="7"/>
  <c r="BP121" i="7"/>
  <c r="BS121" i="7" s="1"/>
  <c r="BT121" i="7" s="1"/>
  <c r="CY120" i="7" l="1"/>
  <c r="CO119" i="7"/>
  <c r="BY119" i="7"/>
  <c r="CS120" i="7"/>
  <c r="CT120" i="7" s="1"/>
  <c r="CU120" i="7" s="1"/>
  <c r="BP122" i="7"/>
  <c r="BS122" i="7" s="1"/>
  <c r="BT122" i="7" s="1"/>
  <c r="CB121" i="7"/>
  <c r="CQ121" i="7"/>
  <c r="BU121" i="7"/>
  <c r="BV121" i="7"/>
  <c r="CI121" i="7"/>
  <c r="CP121" i="7"/>
  <c r="BR120" i="7"/>
  <c r="BX120" i="7"/>
  <c r="BW120" i="7"/>
  <c r="CC120" i="7" s="1"/>
  <c r="CZ117" i="7"/>
  <c r="CX118" i="7"/>
  <c r="CW120" i="7"/>
  <c r="CV120" i="7"/>
  <c r="CR120" i="7"/>
  <c r="BN123" i="7"/>
  <c r="BO123" i="7"/>
  <c r="BQ122" i="7"/>
  <c r="CY121" i="7" l="1"/>
  <c r="CR121" i="7"/>
  <c r="CO120" i="7"/>
  <c r="BY120" i="7"/>
  <c r="CW121" i="7"/>
  <c r="BP123" i="7"/>
  <c r="BS123" i="7" s="1"/>
  <c r="BT123" i="7" s="1"/>
  <c r="CZ118" i="7"/>
  <c r="CX119" i="7"/>
  <c r="CI122" i="7"/>
  <c r="CP122" i="7"/>
  <c r="CB122" i="7"/>
  <c r="BU122" i="7"/>
  <c r="BV122" i="7"/>
  <c r="CQ122" i="7"/>
  <c r="BN124" i="7"/>
  <c r="BQ123" i="7"/>
  <c r="BO124" i="7"/>
  <c r="BW121" i="7"/>
  <c r="CC121" i="7" s="1"/>
  <c r="BX121" i="7"/>
  <c r="CS121" i="7"/>
  <c r="CT121" i="7" s="1"/>
  <c r="CU121" i="7" s="1"/>
  <c r="CV121" i="7"/>
  <c r="BR121" i="7"/>
  <c r="CY122" i="7" l="1"/>
  <c r="CO121" i="7"/>
  <c r="BY121" i="7"/>
  <c r="CS122" i="7"/>
  <c r="CT122" i="7" s="1"/>
  <c r="CU122" i="7" s="1"/>
  <c r="CR122" i="7"/>
  <c r="CV122" i="7"/>
  <c r="BP124" i="7"/>
  <c r="BS124" i="7" s="1"/>
  <c r="BT124" i="7" s="1"/>
  <c r="CQ123" i="7"/>
  <c r="CB123" i="7"/>
  <c r="BU123" i="7"/>
  <c r="BV123" i="7"/>
  <c r="BN125" i="7"/>
  <c r="BO125" i="7"/>
  <c r="BQ124" i="7"/>
  <c r="BR123" i="7" s="1"/>
  <c r="CI123" i="7"/>
  <c r="CP123" i="7"/>
  <c r="CW122" i="7"/>
  <c r="BR122" i="7"/>
  <c r="BX122" i="7"/>
  <c r="BW122" i="7"/>
  <c r="CC122" i="7" s="1"/>
  <c r="CZ119" i="7"/>
  <c r="CX120" i="7"/>
  <c r="CY123" i="7" l="1"/>
  <c r="CO122" i="7"/>
  <c r="BY122" i="7"/>
  <c r="CW123" i="7"/>
  <c r="BP125" i="7"/>
  <c r="BS125" i="7" s="1"/>
  <c r="BT125" i="7" s="1"/>
  <c r="CQ124" i="7"/>
  <c r="BU124" i="7"/>
  <c r="BV124" i="7"/>
  <c r="CB124" i="7"/>
  <c r="BX123" i="7"/>
  <c r="BW123" i="7"/>
  <c r="CC123" i="7" s="1"/>
  <c r="CS123" i="7"/>
  <c r="CT123" i="7" s="1"/>
  <c r="CU123" i="7" s="1"/>
  <c r="CZ120" i="7"/>
  <c r="CX121" i="7"/>
  <c r="CI124" i="7"/>
  <c r="CP124" i="7"/>
  <c r="CR123" i="7"/>
  <c r="BN126" i="7"/>
  <c r="BO126" i="7"/>
  <c r="BQ125" i="7"/>
  <c r="BR124" i="7" s="1"/>
  <c r="CV123" i="7"/>
  <c r="CY124" i="7" l="1"/>
  <c r="CO123" i="7"/>
  <c r="BY123" i="7"/>
  <c r="CR124" i="7"/>
  <c r="CS124" i="7"/>
  <c r="CT124" i="7" s="1"/>
  <c r="CU124" i="7" s="1"/>
  <c r="CB125" i="7"/>
  <c r="CQ125" i="7"/>
  <c r="BU125" i="7"/>
  <c r="BV125" i="7"/>
  <c r="CV124" i="7"/>
  <c r="BX124" i="7"/>
  <c r="BW124" i="7"/>
  <c r="CC124" i="7" s="1"/>
  <c r="BN127" i="7"/>
  <c r="BQ126" i="7"/>
  <c r="BO127" i="7"/>
  <c r="BP126" i="7"/>
  <c r="BS126" i="7" s="1"/>
  <c r="BT126" i="7" s="1"/>
  <c r="CW124" i="7"/>
  <c r="CI125" i="7"/>
  <c r="CP125" i="7"/>
  <c r="CZ121" i="7"/>
  <c r="CX122" i="7"/>
  <c r="CY125" i="7" l="1"/>
  <c r="CR125" i="7"/>
  <c r="CO124" i="7"/>
  <c r="BY124" i="7"/>
  <c r="CS125" i="7"/>
  <c r="CT125" i="7" s="1"/>
  <c r="CU125" i="7" s="1"/>
  <c r="CW125" i="7"/>
  <c r="CV125" i="7"/>
  <c r="CB126" i="7"/>
  <c r="BU126" i="7"/>
  <c r="BV126" i="7"/>
  <c r="CQ126" i="7"/>
  <c r="BW125" i="7"/>
  <c r="CC125" i="7" s="1"/>
  <c r="BX125" i="7"/>
  <c r="BN128" i="7"/>
  <c r="BQ127" i="7"/>
  <c r="BR126" i="7" s="1"/>
  <c r="BO128" i="7"/>
  <c r="CI126" i="7"/>
  <c r="CP126" i="7"/>
  <c r="CZ122" i="7"/>
  <c r="CX123" i="7"/>
  <c r="BP127" i="7"/>
  <c r="BS127" i="7" s="1"/>
  <c r="BT127" i="7" s="1"/>
  <c r="BR125" i="7"/>
  <c r="CY126" i="7" l="1"/>
  <c r="CO125" i="7"/>
  <c r="BY125" i="7"/>
  <c r="CV126" i="7"/>
  <c r="CR126" i="7"/>
  <c r="BN129" i="7"/>
  <c r="BO129" i="7"/>
  <c r="BQ128" i="7"/>
  <c r="BW126" i="7"/>
  <c r="CC126" i="7" s="1"/>
  <c r="BX126" i="7"/>
  <c r="CZ123" i="7"/>
  <c r="CX124" i="7"/>
  <c r="BP128" i="7"/>
  <c r="BS128" i="7" s="1"/>
  <c r="BT128" i="7" s="1"/>
  <c r="CW126" i="7"/>
  <c r="CQ127" i="7"/>
  <c r="BU127" i="7"/>
  <c r="BV127" i="7"/>
  <c r="CB127" i="7"/>
  <c r="CI127" i="7"/>
  <c r="CP127" i="7"/>
  <c r="CS126" i="7"/>
  <c r="CT126" i="7" s="1"/>
  <c r="CU126" i="7" s="1"/>
  <c r="CY127" i="7" l="1"/>
  <c r="CO126" i="7"/>
  <c r="BY126" i="7"/>
  <c r="BP129" i="7"/>
  <c r="BS129" i="7" s="1"/>
  <c r="BT129" i="7" s="1"/>
  <c r="CS127" i="7"/>
  <c r="CT127" i="7" s="1"/>
  <c r="CU127" i="7" s="1"/>
  <c r="CQ128" i="7"/>
  <c r="BU128" i="7"/>
  <c r="BV128" i="7"/>
  <c r="CB128" i="7"/>
  <c r="CI128" i="7"/>
  <c r="CP128" i="7"/>
  <c r="BN130" i="7"/>
  <c r="BQ129" i="7"/>
  <c r="BR128" i="7" s="1"/>
  <c r="BO130" i="7"/>
  <c r="CW127" i="7"/>
  <c r="CW128" i="7" s="1"/>
  <c r="CR127" i="7"/>
  <c r="CR128" i="7" s="1"/>
  <c r="CV127" i="7"/>
  <c r="BX127" i="7"/>
  <c r="BW127" i="7"/>
  <c r="CC127" i="7" s="1"/>
  <c r="BR127" i="7"/>
  <c r="CX125" i="7"/>
  <c r="CZ124" i="7"/>
  <c r="CY128" i="7" l="1"/>
  <c r="CO127" i="7"/>
  <c r="BY127" i="7"/>
  <c r="CV128" i="7"/>
  <c r="CS128" i="7"/>
  <c r="CT128" i="7" s="1"/>
  <c r="CU128" i="7" s="1"/>
  <c r="BN131" i="7"/>
  <c r="BQ130" i="7"/>
  <c r="BO131" i="7"/>
  <c r="CX126" i="7"/>
  <c r="CZ125" i="7"/>
  <c r="CI129" i="7"/>
  <c r="CP129" i="7"/>
  <c r="BX128" i="7"/>
  <c r="BW128" i="7"/>
  <c r="CC128" i="7" s="1"/>
  <c r="BP130" i="7"/>
  <c r="BS130" i="7" s="1"/>
  <c r="BT130" i="7" s="1"/>
  <c r="CB129" i="7"/>
  <c r="BU129" i="7"/>
  <c r="CQ129" i="7"/>
  <c r="BV129" i="7"/>
  <c r="CV129" i="7" l="1"/>
  <c r="CY129" i="7"/>
  <c r="CO128" i="7"/>
  <c r="BY128" i="7"/>
  <c r="CW129" i="7"/>
  <c r="CB130" i="7"/>
  <c r="CQ130" i="7"/>
  <c r="BU130" i="7"/>
  <c r="BV130" i="7"/>
  <c r="CZ126" i="7"/>
  <c r="CX127" i="7"/>
  <c r="CR129" i="7"/>
  <c r="BN132" i="7"/>
  <c r="BQ131" i="7"/>
  <c r="BO132" i="7"/>
  <c r="BX129" i="7"/>
  <c r="BW129" i="7"/>
  <c r="CC129" i="7" s="1"/>
  <c r="CS129" i="7"/>
  <c r="CT129" i="7" s="1"/>
  <c r="CU129" i="7" s="1"/>
  <c r="CI130" i="7"/>
  <c r="CP130" i="7"/>
  <c r="BP131" i="7"/>
  <c r="BS131" i="7" s="1"/>
  <c r="BT131" i="7" s="1"/>
  <c r="BR129" i="7"/>
  <c r="CY130" i="7" l="1"/>
  <c r="CO129" i="7"/>
  <c r="BY129" i="7"/>
  <c r="CS130" i="7"/>
  <c r="CT130" i="7" s="1"/>
  <c r="CU130" i="7" s="1"/>
  <c r="CR130" i="7"/>
  <c r="CV130" i="7"/>
  <c r="CB131" i="7"/>
  <c r="BU131" i="7"/>
  <c r="BV131" i="7"/>
  <c r="CQ131" i="7"/>
  <c r="CI131" i="7"/>
  <c r="CP131" i="7"/>
  <c r="BP132" i="7"/>
  <c r="BS132" i="7" s="1"/>
  <c r="BT132" i="7" s="1"/>
  <c r="BN133" i="7"/>
  <c r="BQ132" i="7"/>
  <c r="BR131" i="7" s="1"/>
  <c r="BO133" i="7"/>
  <c r="BX130" i="7"/>
  <c r="BW130" i="7"/>
  <c r="CC130" i="7" s="1"/>
  <c r="BR130" i="7"/>
  <c r="CW130" i="7"/>
  <c r="CZ127" i="7"/>
  <c r="CX128" i="7"/>
  <c r="CW131" i="7" l="1"/>
  <c r="CO130" i="7"/>
  <c r="BY130" i="7"/>
  <c r="CR131" i="7"/>
  <c r="CV131" i="7"/>
  <c r="CY131" i="7"/>
  <c r="CS131" i="7"/>
  <c r="CT131" i="7" s="1"/>
  <c r="CU131" i="7" s="1"/>
  <c r="BP133" i="7"/>
  <c r="BS133" i="7" s="1"/>
  <c r="BT133" i="7" s="1"/>
  <c r="CZ128" i="7"/>
  <c r="CX129" i="7"/>
  <c r="CB132" i="7"/>
  <c r="BU132" i="7"/>
  <c r="CQ132" i="7"/>
  <c r="CR132" i="7" s="1"/>
  <c r="BV132" i="7"/>
  <c r="BN134" i="7"/>
  <c r="BQ133" i="7"/>
  <c r="BR132" i="7" s="1"/>
  <c r="BO134" i="7"/>
  <c r="CI132" i="7"/>
  <c r="CP132" i="7"/>
  <c r="BW131" i="7"/>
  <c r="CC131" i="7" s="1"/>
  <c r="BX131" i="7"/>
  <c r="CO131" i="7" l="1"/>
  <c r="BY131" i="7"/>
  <c r="CV132" i="7"/>
  <c r="BP134" i="7"/>
  <c r="BS134" i="7" s="1"/>
  <c r="BT134" i="7" s="1"/>
  <c r="CY132" i="7"/>
  <c r="CW132" i="7"/>
  <c r="CS132" i="7"/>
  <c r="CT132" i="7" s="1"/>
  <c r="CU132" i="7" s="1"/>
  <c r="BX132" i="7"/>
  <c r="BW132" i="7"/>
  <c r="CC132" i="7" s="1"/>
  <c r="BN135" i="7"/>
  <c r="BQ134" i="7"/>
  <c r="BR133" i="7" s="1"/>
  <c r="BO135" i="7"/>
  <c r="CI133" i="7"/>
  <c r="CP133" i="7"/>
  <c r="CZ129" i="7"/>
  <c r="CX130" i="7"/>
  <c r="BU133" i="7"/>
  <c r="CQ133" i="7"/>
  <c r="CR133" i="7" s="1"/>
  <c r="CB133" i="7"/>
  <c r="BV133" i="7"/>
  <c r="CV133" i="7" l="1"/>
  <c r="CO132" i="7"/>
  <c r="BY132" i="7"/>
  <c r="CY133" i="7"/>
  <c r="CW133" i="7"/>
  <c r="BN136" i="7"/>
  <c r="BQ135" i="7"/>
  <c r="BR134" i="7" s="1"/>
  <c r="BO136" i="7"/>
  <c r="CI134" i="7"/>
  <c r="CP134" i="7"/>
  <c r="BW133" i="7"/>
  <c r="CC133" i="7" s="1"/>
  <c r="BX133" i="7"/>
  <c r="CZ130" i="7"/>
  <c r="CX131" i="7"/>
  <c r="BP135" i="7"/>
  <c r="BS135" i="7" s="1"/>
  <c r="BT135" i="7" s="1"/>
  <c r="CB134" i="7"/>
  <c r="CQ134" i="7"/>
  <c r="CR134" i="7" s="1"/>
  <c r="BV134" i="7"/>
  <c r="BU134" i="7"/>
  <c r="CS133" i="7"/>
  <c r="CT133" i="7" s="1"/>
  <c r="CU133" i="7" s="1"/>
  <c r="CO133" i="7" l="1"/>
  <c r="BY133" i="7"/>
  <c r="CY134" i="7"/>
  <c r="CW134" i="7"/>
  <c r="CQ135" i="7"/>
  <c r="CR135" i="7" s="1"/>
  <c r="CB135" i="7"/>
  <c r="BV135" i="7"/>
  <c r="BU135" i="7"/>
  <c r="CZ131" i="7"/>
  <c r="CX132" i="7"/>
  <c r="CI135" i="7"/>
  <c r="CP135" i="7"/>
  <c r="BN137" i="7"/>
  <c r="BQ136" i="7"/>
  <c r="BO137" i="7"/>
  <c r="BX134" i="7"/>
  <c r="BW134" i="7"/>
  <c r="CC134" i="7" s="1"/>
  <c r="BP136" i="7"/>
  <c r="BS136" i="7" s="1"/>
  <c r="BT136" i="7" s="1"/>
  <c r="CS134" i="7"/>
  <c r="CT134" i="7" s="1"/>
  <c r="CU134" i="7" s="1"/>
  <c r="CV134" i="7"/>
  <c r="CV135" i="7" l="1"/>
  <c r="CO134" i="7"/>
  <c r="BY134" i="7"/>
  <c r="CY135" i="7"/>
  <c r="CS135" i="7"/>
  <c r="CT135" i="7" s="1"/>
  <c r="CU135" i="7" s="1"/>
  <c r="CB136" i="7"/>
  <c r="CQ136" i="7"/>
  <c r="CR136" i="7" s="1"/>
  <c r="BU136" i="7"/>
  <c r="BV136" i="7"/>
  <c r="CI136" i="7"/>
  <c r="CP136" i="7"/>
  <c r="BP137" i="7"/>
  <c r="BS137" i="7" s="1"/>
  <c r="BT137" i="7" s="1"/>
  <c r="CW135" i="7"/>
  <c r="CX133" i="7"/>
  <c r="CZ132" i="7"/>
  <c r="BN138" i="7"/>
  <c r="BO138" i="7"/>
  <c r="BQ137" i="7"/>
  <c r="BR136" i="7" s="1"/>
  <c r="BX135" i="7"/>
  <c r="BW135" i="7"/>
  <c r="CC135" i="7" s="1"/>
  <c r="BR135" i="7"/>
  <c r="CV136" i="7" l="1"/>
  <c r="CY136" i="7"/>
  <c r="CO135" i="7"/>
  <c r="BY135" i="7"/>
  <c r="CW136" i="7"/>
  <c r="BP138" i="7"/>
  <c r="BS138" i="7" s="1"/>
  <c r="BT138" i="7" s="1"/>
  <c r="CS136" i="7"/>
  <c r="CT136" i="7" s="1"/>
  <c r="CU136" i="7" s="1"/>
  <c r="CQ137" i="7"/>
  <c r="CR137" i="7" s="1"/>
  <c r="CB137" i="7"/>
  <c r="BU137" i="7"/>
  <c r="BV137" i="7"/>
  <c r="BW136" i="7"/>
  <c r="CC136" i="7" s="1"/>
  <c r="BX136" i="7"/>
  <c r="CZ133" i="7"/>
  <c r="CX134" i="7"/>
  <c r="CI137" i="7"/>
  <c r="CP137" i="7"/>
  <c r="BN139" i="7"/>
  <c r="BO139" i="7"/>
  <c r="BQ138" i="7"/>
  <c r="BR137" i="7" s="1"/>
  <c r="CO136" i="7" l="1"/>
  <c r="BY136" i="7"/>
  <c r="CS137" i="7"/>
  <c r="CT137" i="7" s="1"/>
  <c r="CU137" i="7" s="1"/>
  <c r="CY137" i="7"/>
  <c r="CW137" i="7"/>
  <c r="CV137" i="7"/>
  <c r="BU138" i="7"/>
  <c r="CQ138" i="7"/>
  <c r="BV138" i="7"/>
  <c r="CB138" i="7"/>
  <c r="CI138" i="7"/>
  <c r="CP138" i="7"/>
  <c r="BN140" i="7"/>
  <c r="BO140" i="7"/>
  <c r="BQ139" i="7"/>
  <c r="CZ134" i="7"/>
  <c r="CX135" i="7"/>
  <c r="BW137" i="7"/>
  <c r="CC137" i="7" s="1"/>
  <c r="BX137" i="7"/>
  <c r="BP139" i="7"/>
  <c r="BS139" i="7" s="1"/>
  <c r="BT139" i="7" s="1"/>
  <c r="CY138" i="7" l="1"/>
  <c r="CO137" i="7"/>
  <c r="BY137" i="7"/>
  <c r="CV138" i="7"/>
  <c r="CI139" i="7"/>
  <c r="CP139" i="7"/>
  <c r="BW138" i="7"/>
  <c r="CC138" i="7" s="1"/>
  <c r="BX138" i="7"/>
  <c r="CS138" i="7"/>
  <c r="CT138" i="7" s="1"/>
  <c r="CU138" i="7" s="1"/>
  <c r="CQ139" i="7"/>
  <c r="CB139" i="7"/>
  <c r="BU139" i="7"/>
  <c r="BV139" i="7"/>
  <c r="BN141" i="7"/>
  <c r="BO141" i="7"/>
  <c r="BQ140" i="7"/>
  <c r="BR139" i="7" s="1"/>
  <c r="BP140" i="7"/>
  <c r="BS140" i="7" s="1"/>
  <c r="BT140" i="7" s="1"/>
  <c r="CR138" i="7"/>
  <c r="BR138" i="7"/>
  <c r="CZ135" i="7"/>
  <c r="CX136" i="7"/>
  <c r="CW138" i="7"/>
  <c r="CV139" i="7" l="1"/>
  <c r="CY139" i="7"/>
  <c r="CW139" i="7"/>
  <c r="CO138" i="7"/>
  <c r="BY138" i="7"/>
  <c r="CS139" i="7"/>
  <c r="CT139" i="7" s="1"/>
  <c r="CU139" i="7" s="1"/>
  <c r="CR139" i="7"/>
  <c r="BN142" i="7"/>
  <c r="BO142" i="7"/>
  <c r="BQ141" i="7"/>
  <c r="BR140" i="7" s="1"/>
  <c r="CQ140" i="7"/>
  <c r="BU140" i="7"/>
  <c r="CB140" i="7"/>
  <c r="BV140" i="7"/>
  <c r="BW139" i="7"/>
  <c r="CC139" i="7" s="1"/>
  <c r="BX139" i="7"/>
  <c r="BP141" i="7"/>
  <c r="BS141" i="7" s="1"/>
  <c r="BT141" i="7" s="1"/>
  <c r="CZ136" i="7"/>
  <c r="CX137" i="7"/>
  <c r="CI140" i="7"/>
  <c r="CP140" i="7"/>
  <c r="CR140" i="7" l="1"/>
  <c r="CO139" i="7"/>
  <c r="BY139" i="7"/>
  <c r="CY140" i="7"/>
  <c r="BU141" i="7"/>
  <c r="CB141" i="7"/>
  <c r="CQ141" i="7"/>
  <c r="BV141" i="7"/>
  <c r="CZ137" i="7"/>
  <c r="CX138" i="7"/>
  <c r="BW140" i="7"/>
  <c r="CC140" i="7" s="1"/>
  <c r="BX140" i="7"/>
  <c r="CS140" i="7"/>
  <c r="CT140" i="7" s="1"/>
  <c r="CU140" i="7" s="1"/>
  <c r="CW140" i="7"/>
  <c r="CV140" i="7"/>
  <c r="CI141" i="7"/>
  <c r="CP141" i="7"/>
  <c r="BO143" i="7"/>
  <c r="BN143" i="7"/>
  <c r="BQ142" i="7"/>
  <c r="BR141" i="7" s="1"/>
  <c r="BP142" i="7"/>
  <c r="BS142" i="7" s="1"/>
  <c r="BT142" i="7" s="1"/>
  <c r="CR141" i="7" l="1"/>
  <c r="CO140" i="7"/>
  <c r="BY140" i="7"/>
  <c r="CS141" i="7"/>
  <c r="CT141" i="7" s="1"/>
  <c r="CU141" i="7" s="1"/>
  <c r="BP143" i="7"/>
  <c r="BS143" i="7" s="1"/>
  <c r="BT143" i="7" s="1"/>
  <c r="CY141" i="7"/>
  <c r="CQ142" i="7"/>
  <c r="BV142" i="7"/>
  <c r="BU142" i="7"/>
  <c r="CB142" i="7"/>
  <c r="CZ138" i="7"/>
  <c r="CX139" i="7"/>
  <c r="CV141" i="7"/>
  <c r="CI142" i="7"/>
  <c r="CP142" i="7"/>
  <c r="CW141" i="7"/>
  <c r="BX141" i="7"/>
  <c r="BW141" i="7"/>
  <c r="CC141" i="7" s="1"/>
  <c r="BO144" i="7"/>
  <c r="BN144" i="7"/>
  <c r="BQ143" i="7"/>
  <c r="CR142" i="7" l="1"/>
  <c r="CO141" i="7"/>
  <c r="BY141" i="7"/>
  <c r="CW142" i="7"/>
  <c r="CV142" i="7"/>
  <c r="CY142" i="7"/>
  <c r="CS142" i="7"/>
  <c r="CT142" i="7" s="1"/>
  <c r="CU142" i="7" s="1"/>
  <c r="BV143" i="7"/>
  <c r="CB143" i="7"/>
  <c r="BU143" i="7"/>
  <c r="CQ143" i="7"/>
  <c r="BN145" i="7"/>
  <c r="BO145" i="7"/>
  <c r="BQ144" i="7"/>
  <c r="CZ139" i="7"/>
  <c r="CX140" i="7"/>
  <c r="CI143" i="7"/>
  <c r="CP143" i="7"/>
  <c r="BW142" i="7"/>
  <c r="CC142" i="7" s="1"/>
  <c r="BX142" i="7"/>
  <c r="BR142" i="7"/>
  <c r="BP144" i="7"/>
  <c r="BS144" i="7" s="1"/>
  <c r="BT144" i="7" s="1"/>
  <c r="CR143" i="7" l="1"/>
  <c r="CS143" i="7"/>
  <c r="CT143" i="7" s="1"/>
  <c r="CU143" i="7" s="1"/>
  <c r="CO142" i="7"/>
  <c r="BY142" i="7"/>
  <c r="CY143" i="7"/>
  <c r="CB144" i="7"/>
  <c r="BU144" i="7"/>
  <c r="CQ144" i="7"/>
  <c r="BV144" i="7"/>
  <c r="CI144" i="7"/>
  <c r="CP144" i="7"/>
  <c r="BO146" i="7"/>
  <c r="BN146" i="7"/>
  <c r="BQ145" i="7"/>
  <c r="BP145" i="7"/>
  <c r="BS145" i="7" s="1"/>
  <c r="BT145" i="7" s="1"/>
  <c r="BR143" i="7"/>
  <c r="CV143" i="7"/>
  <c r="CW143" i="7"/>
  <c r="CZ140" i="7"/>
  <c r="CX141" i="7"/>
  <c r="BW143" i="7"/>
  <c r="CC143" i="7" s="1"/>
  <c r="BX143" i="7"/>
  <c r="CR144" i="7" l="1"/>
  <c r="CW144" i="7"/>
  <c r="CO143" i="7"/>
  <c r="BY143" i="7"/>
  <c r="CS144" i="7"/>
  <c r="CT144" i="7" s="1"/>
  <c r="CU144" i="7" s="1"/>
  <c r="CY144" i="7"/>
  <c r="CQ145" i="7"/>
  <c r="BV145" i="7"/>
  <c r="BU145" i="7"/>
  <c r="CB145" i="7"/>
  <c r="CI145" i="7"/>
  <c r="CP145" i="7"/>
  <c r="BW144" i="7"/>
  <c r="CC144" i="7" s="1"/>
  <c r="BX144" i="7"/>
  <c r="CZ141" i="7"/>
  <c r="CX142" i="7"/>
  <c r="BP146" i="7"/>
  <c r="BS146" i="7" s="1"/>
  <c r="BT146" i="7" s="1"/>
  <c r="BN147" i="7"/>
  <c r="BO147" i="7"/>
  <c r="BQ146" i="7"/>
  <c r="CV144" i="7"/>
  <c r="BR144" i="7"/>
  <c r="CR145" i="7" l="1"/>
  <c r="CO144" i="7"/>
  <c r="BY144" i="7"/>
  <c r="CV145" i="7"/>
  <c r="CS145" i="7"/>
  <c r="CT145" i="7" s="1"/>
  <c r="CU145" i="7" s="1"/>
  <c r="CY145" i="7"/>
  <c r="CB146" i="7"/>
  <c r="BU146" i="7"/>
  <c r="CQ146" i="7"/>
  <c r="BV146" i="7"/>
  <c r="CX143" i="7"/>
  <c r="CZ142" i="7"/>
  <c r="CW145" i="7"/>
  <c r="CI146" i="7"/>
  <c r="CP146" i="7"/>
  <c r="CV146" i="7" s="1"/>
  <c r="BN148" i="7"/>
  <c r="BO148" i="7"/>
  <c r="BQ147" i="7"/>
  <c r="BR146" i="7" s="1"/>
  <c r="BR145" i="7"/>
  <c r="BW145" i="7"/>
  <c r="CC145" i="7" s="1"/>
  <c r="BX145" i="7"/>
  <c r="BP147" i="7"/>
  <c r="BS147" i="7" s="1"/>
  <c r="BT147" i="7" s="1"/>
  <c r="CO145" i="7" l="1"/>
  <c r="BY145" i="7"/>
  <c r="CW146" i="7"/>
  <c r="CY146" i="7"/>
  <c r="BU147" i="7"/>
  <c r="CQ147" i="7"/>
  <c r="CB147" i="7"/>
  <c r="BV147" i="7"/>
  <c r="BN149" i="7"/>
  <c r="BO149" i="7"/>
  <c r="BQ148" i="7"/>
  <c r="BR147" i="7" s="1"/>
  <c r="CR146" i="7"/>
  <c r="CX144" i="7"/>
  <c r="CZ143" i="7"/>
  <c r="CS146" i="7"/>
  <c r="CT146" i="7" s="1"/>
  <c r="CU146" i="7" s="1"/>
  <c r="BW146" i="7"/>
  <c r="CC146" i="7" s="1"/>
  <c r="BX146" i="7"/>
  <c r="BP148" i="7"/>
  <c r="BS148" i="7" s="1"/>
  <c r="BT148" i="7" s="1"/>
  <c r="CP147" i="7"/>
  <c r="CI147" i="7"/>
  <c r="CO146" i="7" l="1"/>
  <c r="BY146" i="7"/>
  <c r="CS147" i="7"/>
  <c r="CT147" i="7" s="1"/>
  <c r="CU147" i="7" s="1"/>
  <c r="CY147" i="7"/>
  <c r="CW147" i="7"/>
  <c r="CV147" i="7"/>
  <c r="CR147" i="7"/>
  <c r="BO150" i="7"/>
  <c r="BN150" i="7"/>
  <c r="BQ149" i="7"/>
  <c r="BP149" i="7"/>
  <c r="BS149" i="7" s="1"/>
  <c r="BT149" i="7" s="1"/>
  <c r="BU148" i="7"/>
  <c r="CB148" i="7"/>
  <c r="BV148" i="7"/>
  <c r="CQ148" i="7"/>
  <c r="BX147" i="7"/>
  <c r="BW147" i="7"/>
  <c r="CC147" i="7" s="1"/>
  <c r="CZ144" i="7"/>
  <c r="CX145" i="7"/>
  <c r="CI148" i="7"/>
  <c r="CP148" i="7"/>
  <c r="CO147" i="7" l="1"/>
  <c r="BY147" i="7"/>
  <c r="CY148" i="7"/>
  <c r="CS148" i="7"/>
  <c r="CT148" i="7" s="1"/>
  <c r="CU148" i="7" s="1"/>
  <c r="CW148" i="7"/>
  <c r="CB149" i="7"/>
  <c r="BV149" i="7"/>
  <c r="CQ149" i="7"/>
  <c r="BU149" i="7"/>
  <c r="CV148" i="7"/>
  <c r="BP150" i="7"/>
  <c r="BS150" i="7" s="1"/>
  <c r="BT150" i="7" s="1"/>
  <c r="BN151" i="7"/>
  <c r="BO151" i="7"/>
  <c r="BQ150" i="7"/>
  <c r="BR149" i="7" s="1"/>
  <c r="CZ145" i="7"/>
  <c r="CX146" i="7"/>
  <c r="CI149" i="7"/>
  <c r="CP149" i="7"/>
  <c r="BR148" i="7"/>
  <c r="CR148" i="7"/>
  <c r="BX148" i="7"/>
  <c r="BW148" i="7"/>
  <c r="CC148" i="7" s="1"/>
  <c r="CO148" i="7" l="1"/>
  <c r="BY148" i="7"/>
  <c r="CR149" i="7"/>
  <c r="CS149" i="7"/>
  <c r="CT149" i="7" s="1"/>
  <c r="CU149" i="7" s="1"/>
  <c r="CY149" i="7"/>
  <c r="BP151" i="7"/>
  <c r="BS151" i="7" s="1"/>
  <c r="BT151" i="7" s="1"/>
  <c r="CW149" i="7"/>
  <c r="CV149" i="7"/>
  <c r="CB150" i="7"/>
  <c r="CQ150" i="7"/>
  <c r="BV150" i="7"/>
  <c r="BU150" i="7"/>
  <c r="CZ146" i="7"/>
  <c r="CX147" i="7"/>
  <c r="CP150" i="7"/>
  <c r="CI150" i="7"/>
  <c r="BO152" i="7"/>
  <c r="BN152" i="7"/>
  <c r="BQ151" i="7"/>
  <c r="BW149" i="7"/>
  <c r="CC149" i="7" s="1"/>
  <c r="BX149" i="7"/>
  <c r="CR150" i="7" l="1"/>
  <c r="CO149" i="7"/>
  <c r="BY149" i="7"/>
  <c r="CW150" i="7"/>
  <c r="CV150" i="7"/>
  <c r="BP152" i="7"/>
  <c r="BS152" i="7" s="1"/>
  <c r="BT152" i="7" s="1"/>
  <c r="BN153" i="7"/>
  <c r="BO153" i="7"/>
  <c r="BQ152" i="7"/>
  <c r="BR151" i="7" s="1"/>
  <c r="CY150" i="7"/>
  <c r="CZ147" i="7"/>
  <c r="CX148" i="7"/>
  <c r="CI151" i="7"/>
  <c r="CP151" i="7"/>
  <c r="BR150" i="7"/>
  <c r="BU151" i="7"/>
  <c r="CQ151" i="7"/>
  <c r="CR151" i="7" s="1"/>
  <c r="CB151" i="7"/>
  <c r="BV151" i="7"/>
  <c r="CS150" i="7"/>
  <c r="CT150" i="7" s="1"/>
  <c r="CU150" i="7" s="1"/>
  <c r="BW150" i="7"/>
  <c r="CC150" i="7" s="1"/>
  <c r="BX150" i="7"/>
  <c r="CW151" i="7" l="1"/>
  <c r="CO150" i="7"/>
  <c r="BY150" i="7"/>
  <c r="CY151" i="7"/>
  <c r="CI152" i="7"/>
  <c r="CP152" i="7"/>
  <c r="CZ148" i="7"/>
  <c r="CX149" i="7"/>
  <c r="BN154" i="7"/>
  <c r="BO154" i="7"/>
  <c r="BQ153" i="7"/>
  <c r="BR152" i="7" s="1"/>
  <c r="CB152" i="7"/>
  <c r="BU152" i="7"/>
  <c r="BV152" i="7"/>
  <c r="CQ152" i="7"/>
  <c r="CR152" i="7" s="1"/>
  <c r="BP153" i="7"/>
  <c r="BS153" i="7" s="1"/>
  <c r="BT153" i="7" s="1"/>
  <c r="CS151" i="7"/>
  <c r="CT151" i="7" s="1"/>
  <c r="CU151" i="7" s="1"/>
  <c r="BW151" i="7"/>
  <c r="CC151" i="7" s="1"/>
  <c r="BX151" i="7"/>
  <c r="CV151" i="7"/>
  <c r="CO151" i="7" l="1"/>
  <c r="BY151" i="7"/>
  <c r="CV152" i="7"/>
  <c r="BP154" i="7"/>
  <c r="BS154" i="7" s="1"/>
  <c r="BT154" i="7" s="1"/>
  <c r="BU153" i="7"/>
  <c r="BV153" i="7"/>
  <c r="CB153" i="7"/>
  <c r="CQ153" i="7"/>
  <c r="CR153" i="7" s="1"/>
  <c r="BO155" i="7"/>
  <c r="BN155" i="7"/>
  <c r="BQ154" i="7"/>
  <c r="BR153" i="7" s="1"/>
  <c r="CY152" i="7"/>
  <c r="CS152" i="7"/>
  <c r="CT152" i="7" s="1"/>
  <c r="CU152" i="7" s="1"/>
  <c r="CW152" i="7"/>
  <c r="BW152" i="7"/>
  <c r="CC152" i="7" s="1"/>
  <c r="BX152" i="7"/>
  <c r="CI153" i="7"/>
  <c r="CP153" i="7"/>
  <c r="CZ149" i="7"/>
  <c r="CX150" i="7"/>
  <c r="CV153" i="7" l="1"/>
  <c r="CO152" i="7"/>
  <c r="BY152" i="7"/>
  <c r="BP155" i="7"/>
  <c r="BS155" i="7" s="1"/>
  <c r="BT155" i="7" s="1"/>
  <c r="CS153" i="7"/>
  <c r="CT153" i="7" s="1"/>
  <c r="CU153" i="7" s="1"/>
  <c r="CW153" i="7"/>
  <c r="CY153" i="7"/>
  <c r="BN156" i="7"/>
  <c r="BO156" i="7"/>
  <c r="BQ156" i="7" s="1"/>
  <c r="BQ155" i="7"/>
  <c r="CZ150" i="7"/>
  <c r="CX151" i="7"/>
  <c r="CB154" i="7"/>
  <c r="BV154" i="7"/>
  <c r="CQ154" i="7"/>
  <c r="CR154" i="7" s="1"/>
  <c r="BU154" i="7"/>
  <c r="BW153" i="7"/>
  <c r="CC153" i="7" s="1"/>
  <c r="BX153" i="7"/>
  <c r="CI154" i="7"/>
  <c r="CP154" i="7"/>
  <c r="CO153" i="7" l="1"/>
  <c r="BY153" i="7"/>
  <c r="CY154" i="7"/>
  <c r="CS154" i="7"/>
  <c r="CT154" i="7" s="1"/>
  <c r="CU154" i="7" s="1"/>
  <c r="CZ151" i="7"/>
  <c r="CX152" i="7"/>
  <c r="CP156" i="7"/>
  <c r="CI156" i="7"/>
  <c r="BR156" i="7"/>
  <c r="BP156" i="7"/>
  <c r="BS156" i="7" s="1"/>
  <c r="BT156" i="7" s="1"/>
  <c r="CQ155" i="7"/>
  <c r="CR155" i="7" s="1"/>
  <c r="BU155" i="7"/>
  <c r="CB155" i="7"/>
  <c r="BV155" i="7"/>
  <c r="CI155" i="7"/>
  <c r="BR155" i="7"/>
  <c r="CP155" i="7"/>
  <c r="BR154" i="7"/>
  <c r="BX154" i="7"/>
  <c r="BW154" i="7"/>
  <c r="CC154" i="7" s="1"/>
  <c r="CV154" i="7"/>
  <c r="CW154" i="7"/>
  <c r="BR5" i="7" l="1"/>
  <c r="C27" i="11" s="1"/>
  <c r="CO154" i="7"/>
  <c r="BY154" i="7"/>
  <c r="CS155" i="7"/>
  <c r="CT155" i="7" s="1"/>
  <c r="CU155" i="7" s="1"/>
  <c r="CY155" i="7"/>
  <c r="CW155" i="7"/>
  <c r="CW156" i="7" s="1"/>
  <c r="CV155" i="7"/>
  <c r="CV156" i="7" s="1"/>
  <c r="B24" i="11" s="1"/>
  <c r="BU156" i="7"/>
  <c r="BU5" i="7" s="1"/>
  <c r="C19" i="11" s="1"/>
  <c r="CQ156" i="7"/>
  <c r="CS156" i="7" s="1"/>
  <c r="CT156" i="7" s="1"/>
  <c r="CU156" i="7" s="1"/>
  <c r="CB156" i="7"/>
  <c r="F20" i="11" s="1"/>
  <c r="BV156" i="7"/>
  <c r="BT5" i="7"/>
  <c r="BX155" i="7"/>
  <c r="BW155" i="7"/>
  <c r="CC155" i="7" s="1"/>
  <c r="CZ152" i="7"/>
  <c r="CX153" i="7"/>
  <c r="A28" i="11" l="1"/>
  <c r="A333" i="2"/>
  <c r="C26" i="11"/>
  <c r="A29" i="11"/>
  <c r="A27" i="11"/>
  <c r="A26" i="11"/>
  <c r="B26" i="11"/>
  <c r="B28" i="11" s="1"/>
  <c r="C28" i="11"/>
  <c r="B19" i="11"/>
  <c r="CO155" i="7"/>
  <c r="BY155" i="7"/>
  <c r="CY156" i="7"/>
  <c r="CR156" i="7"/>
  <c r="B25" i="11" s="1"/>
  <c r="CZ153" i="7"/>
  <c r="CX154" i="7"/>
  <c r="BX156" i="7"/>
  <c r="BW156" i="7"/>
  <c r="CO156" i="7" l="1"/>
  <c r="BY156" i="7"/>
  <c r="B22" i="11"/>
  <c r="B23" i="11"/>
  <c r="CC156" i="7"/>
  <c r="B44" i="8" s="1"/>
  <c r="CZ154" i="7"/>
  <c r="CX155" i="7"/>
  <c r="CZ155" i="7" l="1"/>
  <c r="CX156" i="7"/>
  <c r="B110" i="8" s="1"/>
  <c r="B129" i="8"/>
  <c r="B115" i="8"/>
  <c r="B29" i="11" l="1"/>
  <c r="B120" i="8" s="1"/>
  <c r="CZ156" i="7"/>
  <c r="B27" i="11"/>
  <c r="D19" i="11" s="1"/>
  <c r="E20" i="11" l="1"/>
  <c r="B21" i="11"/>
  <c r="CZ5" i="7"/>
  <c r="B20" i="11" s="1"/>
  <c r="B109" i="8" l="1"/>
  <c r="B121" i="8" s="1"/>
  <c r="A30" i="11" s="1"/>
  <c r="B123" i="8"/>
  <c r="B133" i="8" s="1"/>
  <c r="H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H27" authorId="0" shapeId="0" xr:uid="{00000000-0006-0000-0700-000001000000}">
      <text>
        <r>
          <rPr>
            <b/>
            <sz val="9"/>
            <color indexed="81"/>
            <rFont val="Segoe UI"/>
            <family val="2"/>
          </rPr>
          <t>Andreas:</t>
        </r>
        <r>
          <rPr>
            <sz val="9"/>
            <color indexed="81"/>
            <rFont val="Segoe UI"/>
            <family val="2"/>
          </rPr>
          <t xml:space="preserve">
estimated</t>
        </r>
      </text>
    </comment>
    <comment ref="H28" authorId="0" shapeId="0" xr:uid="{00000000-0006-0000-0700-000002000000}">
      <text>
        <r>
          <rPr>
            <b/>
            <sz val="9"/>
            <color indexed="81"/>
            <rFont val="Segoe UI"/>
            <family val="2"/>
          </rPr>
          <t>Andreas:</t>
        </r>
        <r>
          <rPr>
            <sz val="9"/>
            <color indexed="81"/>
            <rFont val="Segoe UI"/>
            <family val="2"/>
          </rPr>
          <t xml:space="preserve">
estimated</t>
        </r>
      </text>
    </comment>
  </commentList>
</comments>
</file>

<file path=xl/sharedStrings.xml><?xml version="1.0" encoding="utf-8"?>
<sst xmlns="http://schemas.openxmlformats.org/spreadsheetml/2006/main" count="2196" uniqueCount="1305">
  <si>
    <t>United Nations, Department of Economic and Social Affairs, Population Division (2019). World Population Prospects 2019, Online Edition. Rev. 1.</t>
  </si>
  <si>
    <t>WPP2019_POP_F01_1_TOTAL_POPULATION_BOTH_SEXES.xlsx</t>
  </si>
  <si>
    <t>https://population.un.org/wpp/Download/Standard/Population/</t>
  </si>
  <si>
    <t>BP Statistical Review of World Energy June 2019</t>
  </si>
  <si>
    <t>bp-stats-review-2019-all-data.xlsx</t>
  </si>
  <si>
    <t>https://www.bp.com/en/global/corporate/energy-economics/statistical-review-of-world-energy.html</t>
  </si>
  <si>
    <t>Food and Agriculture Organization of the United Nations: Food and agriculture data</t>
  </si>
  <si>
    <t>http://www.fao.org/faostat/en/#data</t>
  </si>
  <si>
    <t>Data partly downloaded in bulk and evaluated with own program to determine global characteristics.</t>
  </si>
  <si>
    <t xml:space="preserve">Global Carbon Project. (2019). Supplemental data of Global Carbon Budget 2019 (Version 1.0) [Data set]. Global Carbon Project. https://doi.org/10.18160/gcp-2019 </t>
  </si>
  <si>
    <t>https://www.icos-cp.eu/GCP/2019</t>
  </si>
  <si>
    <r>
      <t xml:space="preserve">Rogelj, J., D. Shindell, K. Jiang, S. Fifita, P. Forster, V. Ginzburg, C. Handa, H. Kheshgi, S. Kobayashi, E. Kriegler, L. Mundaca, R. Séférian, and M.V. Vilariño, 2018: Mitigation Pathways Compatible with 1.5°C in the Context of Sustainable Development. In: </t>
    </r>
    <r>
      <rPr>
        <i/>
        <sz val="11"/>
        <color theme="1"/>
        <rFont val="Calibri"/>
        <family val="2"/>
        <scheme val="minor"/>
      </rPr>
      <t xml:space="preserve">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t>
    </r>
    <r>
      <rPr>
        <sz val="11"/>
        <color theme="1"/>
        <rFont val="Calibri"/>
        <family val="2"/>
        <scheme val="minor"/>
      </rPr>
      <t>[Masson-Delmotte, V., P. Zhai, H.-O. Pörtner, D. Roberts, J. Skea, P.R. Shukla, A. Pirani, W. Moufouma-Okia, C. Péan, R. Pidcock, S. Connors, J.B.R. Matthews, Y. Chen, X. Zhou, M.I. Gomis, E. Lonnoy, T. Maycock, M. Tignor, and T. Waterfield (eds.)]. In Press.</t>
    </r>
  </si>
  <si>
    <t>https://www.ipcc.ch/sr15/chapter/chapter-2/</t>
  </si>
  <si>
    <t>See also sheet 'historical carbon budget'.</t>
  </si>
  <si>
    <t>I. Arto, I. Capellán-Pérez, R. Lago, G. Bueno, R. Bermejo, The energy require-ments of a developed world. Energy Sustainable Dev. 2016, 33, 1-13.</t>
  </si>
  <si>
    <t>https://doi.org/10.1016/j.esd.2016.04.001</t>
  </si>
  <si>
    <t>Ciais, P., C. Sabine, G. Bala, L. Bopp, V. Brovkin, J. Canadell, A. Chhabra, R. DeFries, J. Galloway, M. Heimann, C. Jones, C. Le Quéré, R.B. Myneni, S. Piao and P. Thornton, 2013: Carbon and Other Biogeochemical Cycles.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t>
  </si>
  <si>
    <t>Table 6.15</t>
  </si>
  <si>
    <t>https://www.ipcc.ch/site/assets/uploads/2018/02/WG1AR5_Chapter06_FINAL.pdf</t>
  </si>
  <si>
    <t>DECHEMA, FutureCamp, VCI, 2019: Roadmap Chemie 2050</t>
  </si>
  <si>
    <t>https://dechema.de/chemie2050.html</t>
  </si>
  <si>
    <t>limiting indices languages</t>
  </si>
  <si>
    <t>1 - English, 2 - Deutsch, other - English</t>
  </si>
  <si>
    <t>1 - English, 2 - Deutsch, 3 - Français, other - English</t>
  </si>
  <si>
    <t>text in chosen language</t>
  </si>
  <si>
    <t>1 - English</t>
  </si>
  <si>
    <t>2 - Deutsch</t>
  </si>
  <si>
    <t>3 - Français</t>
  </si>
  <si>
    <t>Balance-Based World Scenarios</t>
  </si>
  <si>
    <t>Bilanz-basierte Welt-Szenarien</t>
  </si>
  <si>
    <t>language:</t>
  </si>
  <si>
    <t>Sprache:</t>
  </si>
  <si>
    <t>scenario settings</t>
  </si>
  <si>
    <t>Szenario-Einstellungen</t>
  </si>
  <si>
    <t>scenario details and parameters</t>
  </si>
  <si>
    <t>Szenario-Details und Parameter</t>
  </si>
  <si>
    <t>world population</t>
  </si>
  <si>
    <t>Weltbevölkerung</t>
  </si>
  <si>
    <t>scale</t>
  </si>
  <si>
    <t>Skala</t>
  </si>
  <si>
    <t>value</t>
  </si>
  <si>
    <t>Wert</t>
  </si>
  <si>
    <t>fixed value</t>
  </si>
  <si>
    <t>feste Werte</t>
  </si>
  <si>
    <t>changeable via control sheet</t>
  </si>
  <si>
    <t>veränderbar über Blatt 'control'</t>
  </si>
  <si>
    <t>real scale from slider</t>
  </si>
  <si>
    <t>reale Skala vom Schieber</t>
  </si>
  <si>
    <t>scaling factor population</t>
  </si>
  <si>
    <t>Skalierungsfaktor Bevölkerung</t>
  </si>
  <si>
    <t xml:space="preserve">
Warning: The UN has always upward corrected their population estimates. Thus extreme efforts are required for such low population growth, e.g. development aids.</t>
  </si>
  <si>
    <t xml:space="preserve">
Warnung: Die UN hat die Bevölkerungs-Projektionen stets nach oben korrigiert. Daher sind für solch ein geringes Bevölkerungs-Wachstum extreme Anstrengungen nötig wie intensive Entwicklungs-Unterstützung.</t>
  </si>
  <si>
    <t xml:space="preserve">
Caution: Keeping population growth only slightly above medium variant may require dedicated political measures like intensified development aids.</t>
  </si>
  <si>
    <t xml:space="preserve">
Achtung: Ein Bevölkerungs-Wachstum nur wenig über der mittleren Variante kann womöglich nur mit gezielten politischen Maßnahmen wie Entwicklungs-Unterstützung erreicht werden.</t>
  </si>
  <si>
    <t>UN variant:</t>
  </si>
  <si>
    <t>UN-Variante:</t>
  </si>
  <si>
    <t>low</t>
  </si>
  <si>
    <t>niedrig</t>
  </si>
  <si>
    <t>medium</t>
  </si>
  <si>
    <t>mittel</t>
  </si>
  <si>
    <t>high</t>
  </si>
  <si>
    <t>hoch</t>
  </si>
  <si>
    <t>population chosen</t>
  </si>
  <si>
    <t>gewählte Bevölkerung</t>
  </si>
  <si>
    <t>in billion</t>
  </si>
  <si>
    <t>in Milliarden</t>
  </si>
  <si>
    <t>primary energy &amp; materials consumption</t>
  </si>
  <si>
    <t>Primärenergie- &amp; Material-Konsum</t>
  </si>
  <si>
    <t>slope fitted to historical data</t>
  </si>
  <si>
    <t>Steigung an historische Daten angepasst</t>
  </si>
  <si>
    <t>maximum of 9-year average growth</t>
  </si>
  <si>
    <t>Maximum der 9-Jahres-Mittelwerte</t>
  </si>
  <si>
    <t>minimum growth considered</t>
  </si>
  <si>
    <t>minimales berücksichtigtes Wachstum</t>
  </si>
  <si>
    <t>limit for good developed life</t>
  </si>
  <si>
    <t>Grenze für gutes entwickeltes Leben</t>
  </si>
  <si>
    <t>maximum limit considered</t>
  </si>
  <si>
    <t>berücksichtigte Obergrenze</t>
  </si>
  <si>
    <t>minimum limit considered</t>
  </si>
  <si>
    <t>berücksichtigte Untergrenze</t>
  </si>
  <si>
    <t>real scale from slope slider</t>
  </si>
  <si>
    <t>reale Skala vom Steigungs-Schieber</t>
  </si>
  <si>
    <t>scaled slope</t>
  </si>
  <si>
    <t>skalierte Steigung</t>
  </si>
  <si>
    <t>real scale from limit slider</t>
  </si>
  <si>
    <t>reale Skala vom Grenz-Schieber</t>
  </si>
  <si>
    <t>energy chosen</t>
  </si>
  <si>
    <t>gewählte Energie</t>
  </si>
  <si>
    <t>OECD countries</t>
  </si>
  <si>
    <t>OECD-Länder</t>
  </si>
  <si>
    <t>non-OECD countries</t>
  </si>
  <si>
    <t>nicht-OECD-Länder</t>
  </si>
  <si>
    <t>Pro-Kopf-Primärenergie-Konsum</t>
  </si>
  <si>
    <t>in 1000 kWh/(cap a)</t>
  </si>
  <si>
    <t>growth hydroelectricity, ave. last 15a</t>
  </si>
  <si>
    <t>Wachstum Hydroenergie, Mittel letzte 15 Jahre</t>
  </si>
  <si>
    <t>chosen factor max hydroelectricity rel. to 2018</t>
  </si>
  <si>
    <t>gewählter Faktor für Maximum Wasserkraft bezogen auf 2018</t>
  </si>
  <si>
    <t>annual growth biofuels, average last 15a</t>
  </si>
  <si>
    <t>jährliches Wachstum Bio-Kraftstoffe, Mittel letzte 15 Jahre</t>
  </si>
  <si>
    <t>growth factor solar &amp; wind, ave last 7a</t>
  </si>
  <si>
    <t>Wachstums-Faktor Solar &amp; Wind, Mittel letzte 7 Jahre</t>
  </si>
  <si>
    <t>max. 5a-average growth rate solar &amp; wind</t>
  </si>
  <si>
    <t>Maximum 5-Jahres-Mittel Wachstums-Faktor Solar &amp; Wind</t>
  </si>
  <si>
    <t>growth rate solar + wind before intensification</t>
  </si>
  <si>
    <t>Wachstumsrate Solar &amp; Wind vor Intensivierung</t>
  </si>
  <si>
    <t>maximum substitution rate before intensification</t>
  </si>
  <si>
    <t>maximale Substitutionsrate vor der Intensivierung</t>
  </si>
  <si>
    <t>growth rate solar + wind after intensification</t>
  </si>
  <si>
    <t>Wachstumsrate Solar &amp; Wind nach Intensivierung</t>
  </si>
  <si>
    <t>real scale growth rate solar + wind</t>
  </si>
  <si>
    <t>Reale Skala Wachstumsrate Wind &amp; Solar</t>
  </si>
  <si>
    <t>real scale substitution rate</t>
  </si>
  <si>
    <t>reale Skala Substitutionsrate</t>
  </si>
  <si>
    <t>substitution rate chosen</t>
  </si>
  <si>
    <t>gewählte Substitutionsrate</t>
  </si>
  <si>
    <t>fraction CO2 obtained from atmosphere</t>
  </si>
  <si>
    <t xml:space="preserve">Anteil aus der Atmosphäre gewonnenes CO2 </t>
  </si>
  <si>
    <t>factor extra energy demand for CO2 conversion</t>
  </si>
  <si>
    <t>Faktor für den Zusatzenergiebedarf für CO2-Nutzung</t>
  </si>
  <si>
    <t>energy required for CO2 recovery from air</t>
  </si>
  <si>
    <t>Energie, um CO2 aus der Luft abzutrennen</t>
  </si>
  <si>
    <t>efficiency to convert from fossil fuel to electricity/exergy</t>
  </si>
  <si>
    <t>Wirkungsgrad der Wandlung von fossilen Energieträgern in Strom/Exergie</t>
  </si>
  <si>
    <t>Primärenergie-Konsum</t>
  </si>
  <si>
    <t>solar &amp; wind</t>
  </si>
  <si>
    <t>Solar &amp; Wind</t>
  </si>
  <si>
    <t>wind</t>
  </si>
  <si>
    <t>solar</t>
  </si>
  <si>
    <t>hydro electricity</t>
  </si>
  <si>
    <t>Wasserkraft</t>
  </si>
  <si>
    <t>nuclear</t>
  </si>
  <si>
    <t>Kernenergie</t>
  </si>
  <si>
    <t>coal</t>
  </si>
  <si>
    <t>Kohle</t>
  </si>
  <si>
    <t>natural gas</t>
  </si>
  <si>
    <t>Erdgas</t>
  </si>
  <si>
    <t>crude oil</t>
  </si>
  <si>
    <t>Erdöl</t>
  </si>
  <si>
    <t>year</t>
  </si>
  <si>
    <t>Jahr</t>
  </si>
  <si>
    <t>too many</t>
  </si>
  <si>
    <t>zu viele</t>
  </si>
  <si>
    <t>centuries</t>
  </si>
  <si>
    <t>Jahrhunderte</t>
  </si>
  <si>
    <t>slope of temperature vs. total CO2 emitted for 66th percentile</t>
  </si>
  <si>
    <t>Steigung der Temperatur mit gesamtem CO2-Ausstoß bei 66. Perzentil</t>
  </si>
  <si>
    <t>slope of temperature vs. total CO2 emitted for 50th percentile</t>
  </si>
  <si>
    <t>Steigung der Temperatur mit gesamtem CO2-Ausstoß bei 50. Perzentil</t>
  </si>
  <si>
    <t>slope of temperature vs. total CO2 emitted for 33rd percentile</t>
  </si>
  <si>
    <t>Steigung der Temperatur mit gesamtem CO2-Ausstoß bei 33. Perzentil</t>
  </si>
  <si>
    <t>intercept of temperature vs. total CO2 emitted: CO2 emitted</t>
  </si>
  <si>
    <t>Schnittpunkt Temperatur vs. gesamter CO2-Ausstoß: CO2-Ausstoß</t>
  </si>
  <si>
    <t>intercept of temperature vs. total CO2 emitted: temperature</t>
  </si>
  <si>
    <t>Schnittpunkt Temperatur vs. gesamter CO2-Ausstoß: Temperatur</t>
  </si>
  <si>
    <t>increases</t>
  </si>
  <si>
    <t>steigend</t>
  </si>
  <si>
    <t>after 2100</t>
  </si>
  <si>
    <t>nach 2100</t>
  </si>
  <si>
    <t>minimum fraction bio-/CO2-fuels for planes and ships of primary energy</t>
  </si>
  <si>
    <t>min. Anteil Bio-/CO2-Kraftstoffe für Flugzeuge und Schiffe an Primärenergie</t>
  </si>
  <si>
    <t>average annual growth factor of cropland during last 8 years</t>
  </si>
  <si>
    <t>durchschnittlicher jährliche Zuwachsrate der Ackerfläche während der letzten 8 Jahre</t>
  </si>
  <si>
    <t>annual growth factor permanent meadows and pastures, average 8 years</t>
  </si>
  <si>
    <t>jährlicher Wachstumsfaktor Dauergrünland, Weiden, Mittel 8 Jahre</t>
  </si>
  <si>
    <t>annual growth factor forest land, average 8 years</t>
  </si>
  <si>
    <t>jährlicher Wachstumsfaktor Waldland, Mittel 8 Jahre</t>
  </si>
  <si>
    <t>slope of food supply from quadratic fit</t>
  </si>
  <si>
    <t>Steigung von 'food supply' bei quadratischer Anpassung</t>
  </si>
  <si>
    <t>quadratic term of food supply from quadratic fit</t>
  </si>
  <si>
    <t>quadratischer Term von 'food supply' bei quadratischer Anpassung</t>
  </si>
  <si>
    <t>chosen factor for future increase of food supply</t>
  </si>
  <si>
    <t>gewählter Faktor für den Anstieg 'food supply'</t>
  </si>
  <si>
    <t>food supply</t>
  </si>
  <si>
    <t>Nahrungsmittel-Versorgung</t>
  </si>
  <si>
    <t>historical data</t>
  </si>
  <si>
    <t>historische Daten</t>
  </si>
  <si>
    <t>future data</t>
  </si>
  <si>
    <t>zukünftige Daten</t>
  </si>
  <si>
    <t>fraction animal-based food</t>
  </si>
  <si>
    <t>Anteil tierbasierter Nahrungsmittel</t>
  </si>
  <si>
    <t>Anteil tierbasierter Ernährung</t>
  </si>
  <si>
    <t>China</t>
  </si>
  <si>
    <t>Germany</t>
  </si>
  <si>
    <t>Deutschland</t>
  </si>
  <si>
    <t>India</t>
  </si>
  <si>
    <t>Indien</t>
  </si>
  <si>
    <t>USA</t>
  </si>
  <si>
    <t>world 
historic</t>
  </si>
  <si>
    <t>Welt 
historisch</t>
  </si>
  <si>
    <t>world future</t>
  </si>
  <si>
    <t>Welt zukünftig</t>
  </si>
  <si>
    <t>real scale quadratic term for animal-based food fraction</t>
  </si>
  <si>
    <t>reale Skala des quadratischen Terms des Anteils tier-basierter Ernährung</t>
  </si>
  <si>
    <t>plant-based food</t>
  </si>
  <si>
    <t>pflanzliche Nahrungsmittel</t>
  </si>
  <si>
    <t>animal-based food</t>
  </si>
  <si>
    <t>tier-basierte Nahrungsmittel</t>
  </si>
  <si>
    <t>Nahrungsversorgung</t>
  </si>
  <si>
    <t>results</t>
  </si>
  <si>
    <t>Ergebnisse</t>
  </si>
  <si>
    <t>accumulated CO2 emitted between 1875 and 2100</t>
  </si>
  <si>
    <t>akkumulierte CO2-Emissionen zwischen 1875 und 2100</t>
  </si>
  <si>
    <t>substitution rate</t>
  </si>
  <si>
    <t>Substitutionsrate</t>
  </si>
  <si>
    <t>global warming</t>
  </si>
  <si>
    <t>globale Erwärmung</t>
  </si>
  <si>
    <t>land area</t>
  </si>
  <si>
    <t>Landfläche</t>
  </si>
  <si>
    <t>nutrition</t>
  </si>
  <si>
    <t>Ernährung</t>
  </si>
  <si>
    <t>CO2 emitted &amp; captured</t>
  </si>
  <si>
    <t>CO2 emittiert &amp; abgetrennt</t>
  </si>
  <si>
    <t>net emitted</t>
  </si>
  <si>
    <t>netto emittiert</t>
  </si>
  <si>
    <t>captured</t>
  </si>
  <si>
    <t>abgetrennt</t>
  </si>
  <si>
    <t>global average temperature</t>
  </si>
  <si>
    <t>globale Mitteltemperatur</t>
  </si>
  <si>
    <t>caution messages</t>
  </si>
  <si>
    <t>Vorsicht-Meldungen</t>
  </si>
  <si>
    <t>warnings</t>
  </si>
  <si>
    <t>Warnungen</t>
  </si>
  <si>
    <t xml:space="preserve">
Warning: The global mean temperature will increase by more than 2°C above pre-industrial level!</t>
  </si>
  <si>
    <t xml:space="preserve">
Warnung: Die globale mittlere Temperatur wird um mehr als 2°C gegenüber dem vorindustriellen Wert steigen!</t>
  </si>
  <si>
    <t xml:space="preserve">
Warning: The global mean temperature keeps increasing at the end of the 21st century!</t>
  </si>
  <si>
    <t xml:space="preserve">
Warnung: Die globale mittlere Temperatur wird auch am Ende des 21ten Jahrhunderts weiter steigen!</t>
  </si>
  <si>
    <t xml:space="preserve">
Warning: There is not enough agricultural land available to feed everybody. Either deforestation is required or more people will be undernourished!</t>
  </si>
  <si>
    <t xml:space="preserve">
Warnung: Es gibt nicht genügen Landfläche, um alle Menschen ausreichend zu ernähren. Entweder muss mehr Wald gerodet werden oder mehr Menschen sind unterernährt!</t>
  </si>
  <si>
    <t xml:space="preserve">
Caution: The global mean temperature is increasing above 1.5°C above pre-industrial level!</t>
  </si>
  <si>
    <t xml:space="preserve">
Achtung: Die globale mittlere Temperatur wird um mehr als 1,5°C gegenüber dem vorindustriellen Wert steigen!</t>
  </si>
  <si>
    <t>all warnings</t>
  </si>
  <si>
    <t>alle Warn-Meldungen</t>
  </si>
  <si>
    <t>all cautions</t>
  </si>
  <si>
    <t>alle Achtung-Meldungen</t>
  </si>
  <si>
    <t>slope of area-specific vegetal productivity used</t>
  </si>
  <si>
    <t>verwendeter Anstieg spez. pflanzliche Produktivität</t>
  </si>
  <si>
    <t>in kcal/(m² a)</t>
  </si>
  <si>
    <t>specific vegetal productivity</t>
  </si>
  <si>
    <t>spez. pflanzliche Produktivität</t>
  </si>
  <si>
    <t>pasture intensity, A1 in A1*exp(-(x-x0)/t1) in m^2*a/kcal</t>
  </si>
  <si>
    <t>Weideintensität, A1 in A1*exp(-(x-x0)/t1) in m^2*a/kcal</t>
  </si>
  <si>
    <t>pasture intensity, t1 in A1*exp(-(x-x0)/t1) in m^2*a/kcal</t>
  </si>
  <si>
    <t>Weideintensität, t1 in A1*exp(-(x-x0)/t1) in m^2*a/kcal</t>
  </si>
  <si>
    <t>Weideintensität, x0 in A1*exp(-(x-x0)/t1) in m^2*a/kcal</t>
  </si>
  <si>
    <t>minimum pasture input</t>
  </si>
  <si>
    <t>minimaler Einsatz Weide</t>
  </si>
  <si>
    <t>pasture per animal-based calories</t>
  </si>
  <si>
    <t>Weide pro tier-basierter Kalorien</t>
  </si>
  <si>
    <t>feed intensity, y0 in y0+A1*exp(-(x-x0)/t1) in kcal/kcal</t>
  </si>
  <si>
    <t>Futtermittel-Intensität, y0 in y0+A1*exp(-(x-x0)/t1) in kcal/kcal</t>
  </si>
  <si>
    <t>feed intensity, A1 in y0+A1*exp(-(x-x0)/t1) in kcal/kcal</t>
  </si>
  <si>
    <t>Futtermittel-Intensität, A1 in y0+A1*exp(-(x-x0)/t1) in kcal/kcal</t>
  </si>
  <si>
    <t>feed intensity, t1 in y0+A1*exp(-(x-x0)/t1) in kcal/kcal</t>
  </si>
  <si>
    <t>Futtermittel-Intensität, t1 in y0+A1*exp(-(x-x0)/t1) in kcal/kcal</t>
  </si>
  <si>
    <t>feed intensity, x0 in y0+A1*exp(-(x-x0)/t1) in kcal/kcal</t>
  </si>
  <si>
    <t>Futtermittel-Intensität, x0 in y0+A1*exp(-(x-x0)/t1) in kcal/kcal</t>
  </si>
  <si>
    <t>feed per animal-based production</t>
  </si>
  <si>
    <t>Futter / tier-basierte Produktion</t>
  </si>
  <si>
    <t>food / primary production animal based, y0 in y0+A1*exp(-(x-x0)/t1) in kcal/kcal</t>
  </si>
  <si>
    <t>Nahrung/Primärproduktion tier-basiert, y0 in y0+A1*exp(-(x-x0)/t1) in kcal/kcal</t>
  </si>
  <si>
    <t>food / primary production animal based, A1 in y0+A1*exp(-(x-x0)/t1) in kcal/kcal</t>
  </si>
  <si>
    <t>Nahrung/Primärproduktion tier-basiert, A1 in y0+A1*exp(-(x-x0)/t1) in kcal/kcal</t>
  </si>
  <si>
    <t>food / primary production animal based, t1 in y0+A1*exp(-(x-x0)/t1) in kcal/kcal</t>
  </si>
  <si>
    <t>Nahrung/Primärproduktion tier-basiert, t1 in y0+A1*exp(-(x-x0)/t1) in kcal/kcal</t>
  </si>
  <si>
    <t>food / primary production animal based, x0 in y0+A1*exp(-(x-x0)/t1) in kcal/kcal</t>
  </si>
  <si>
    <t>Nahrung/Primärproduktion tier-basiert, x0 in y0+A1*exp(-(x-x0)/t1) in kcal/kcal</t>
  </si>
  <si>
    <t>food / animal-based production</t>
  </si>
  <si>
    <t>Nahrung/tier-basierte Produktion</t>
  </si>
  <si>
    <t>seed / primary production vegetal, y0 in y0+A1*exp(-(x-x0)/t1) in kcal/kcal</t>
  </si>
  <si>
    <t>Saatgut / pflanzliche Primärproduktion, y0 in y0+A1*exp(-(x-x0)/t1) in kcal/kcal</t>
  </si>
  <si>
    <t>seed / primary production vegetal, A1 in y0+A1*exp(-(x-x0)/t1) in kcal/kcal</t>
  </si>
  <si>
    <t>Saatgut / pflanzliche Primärproduktion, A1 in y0+A1*exp(-(x-x0)/t1) in kcal/kcal</t>
  </si>
  <si>
    <t>seed / primary production vegetal, t1 in y0+A1*exp(-(x-x0)/t1) in kcal/kcal</t>
  </si>
  <si>
    <t>Saatgut / pflanzliche Primärproduktion, t1 in y0+A1*exp(-(x-x0)/t1) in kcal/kcal</t>
  </si>
  <si>
    <t>seed / primary production vegetal, x0 in y0+A1*exp(-(x-x0)/t1) in kcal/kcal</t>
  </si>
  <si>
    <t>Saatgut / pflanzliche Primärproduktion, x0 in y0+A1*exp(-(x-x0)/t1) in kcal/kcal</t>
  </si>
  <si>
    <t>seed / vegetal primary production</t>
  </si>
  <si>
    <t>Saat / pflanzl. Primärproduktion</t>
  </si>
  <si>
    <t>losses vegetal / vegetal primary production</t>
  </si>
  <si>
    <t>Verluste / pflanzliche Primärproduktion</t>
  </si>
  <si>
    <t>loss / vegetal primary production</t>
  </si>
  <si>
    <t>Verlust/pflanzl. Primärproduktion</t>
  </si>
  <si>
    <t>land-area specific productivity for biofuels in reference year</t>
  </si>
  <si>
    <t>flächenspezifisch Produktivität von Bio-Kraftstoffen im Bezugsjahr</t>
  </si>
  <si>
    <t>reference year for land-area specific productivity for bio-fuels, materials &amp; BECCS</t>
  </si>
  <si>
    <t>Bezugsjahr flächenspez. Produktivität von Bio-Kraftstoffen, -Materialien &amp; BECCS</t>
  </si>
  <si>
    <t>land-area specific vegetal productivity in reference year</t>
  </si>
  <si>
    <t>flächenspezifische Produktivität pflanzenbasierter Produkte im Bezugsjahr</t>
  </si>
  <si>
    <t>land-area specific bio-materials productivity in reference year on CH2-basis</t>
  </si>
  <si>
    <t>flächenspezifische Produktivität für Bio-Materialien im Referenzjahr</t>
  </si>
  <si>
    <t>land-area specific energy productivity for BECCS/alternative in reference year</t>
  </si>
  <si>
    <t>flächenspezifisch Energie-Produktivität von BECCS/Alternative im Bezugsjahr</t>
  </si>
  <si>
    <t>fraction of cropland with sustainable farming</t>
  </si>
  <si>
    <t>Flächen-Anteil nachhaltiger Landwirtschaft</t>
  </si>
  <si>
    <t>fraction cropland area reserved for bio-diversity</t>
  </si>
  <si>
    <t>Anteil Ackerland für Bio-Diversität</t>
  </si>
  <si>
    <t>in 1000 m² per capita</t>
  </si>
  <si>
    <t>in 1000 m² pro Kopf</t>
  </si>
  <si>
    <t>cropland</t>
  </si>
  <si>
    <t>Ackerland</t>
  </si>
  <si>
    <t>pasture</t>
  </si>
  <si>
    <t>Weide</t>
  </si>
  <si>
    <t>vegetal food</t>
  </si>
  <si>
    <t>pflanzl. Ernährung</t>
  </si>
  <si>
    <t>bio-fuels</t>
  </si>
  <si>
    <t>Bio-Kraftstoffe</t>
  </si>
  <si>
    <t>bio-materials</t>
  </si>
  <si>
    <t>Bio-Materialien</t>
  </si>
  <si>
    <t>BECCS</t>
  </si>
  <si>
    <t>add. sust. farming</t>
  </si>
  <si>
    <t>zus. Öko-Landbau</t>
  </si>
  <si>
    <t>add. bio-diversity</t>
  </si>
  <si>
    <t>zus. Biodiversität</t>
  </si>
  <si>
    <t>afforestation</t>
  </si>
  <si>
    <t>Aufforstung</t>
  </si>
  <si>
    <t>add. feed</t>
  </si>
  <si>
    <t>zus. Futtermittel</t>
  </si>
  <si>
    <t>area demand</t>
  </si>
  <si>
    <t>Flächenbedarf</t>
  </si>
  <si>
    <t>fraction additional area demand for organic farming</t>
  </si>
  <si>
    <t>anteiliger zusätzlicher Flächenbedarf für Bio-Landwirtschaft</t>
  </si>
  <si>
    <t>% to be deforested forests for sufficient food</t>
  </si>
  <si>
    <t>% Wald abzuholzen für ausreichende Ernährung</t>
  </si>
  <si>
    <t>available fert. land</t>
  </si>
  <si>
    <t>verfügbare Fläche</t>
  </si>
  <si>
    <t>additional annual carbon storage by forests</t>
  </si>
  <si>
    <t>zusätzliche jährliche Kohlenstoffspeicherung durch Wälder</t>
  </si>
  <si>
    <t xml:space="preserve">
Warning: The energy is not sufficient for all humans to ensure appropriate life in a developed environment!</t>
  </si>
  <si>
    <t xml:space="preserve">
Warnung: Die Energie reicht nicht für alle Menschen, um ein angemessenes Leben in entwickelter Umgebung sicherzustellen!</t>
  </si>
  <si>
    <t xml:space="preserve">
Caution: The growth rate of solar and wind energy exceeds the current value of 20% per year, so that significantly more effort may be required as compared to today!</t>
  </si>
  <si>
    <t xml:space="preserve">
Achtung: Die Wachstumsrate für Solar- und Windenergie liegt über dem aktuellen Wert von 20% pro Jahr, so dass womöglich deutlich höhere Anstrengungen als heute nötig sind!</t>
  </si>
  <si>
    <t xml:space="preserve">
Warning: A substitution rate above 4% is not sustainable, because solar panels and wind engines have a lifetime of more than 25 years. After the sustainable-energy transition at most 4% of the equipment would thus need to be replaced every year.</t>
  </si>
  <si>
    <t xml:space="preserve">
Warnung: Eine Substitutionsrate über 4% pro Jahr ist nicht nachhaltig, da die Lebensdauer von Solarpanels und Windkraftanlagen größer als 25 Jahre ist. Nach der Energiewende müssen daher jährlich maximal 4% der Anlagen erneuert werden.</t>
  </si>
  <si>
    <t xml:space="preserve">
Warning: The CO2 concentration will remain constant at the end of the 21st century, so that the global mean temperature will further increase by a factor of 1.5 to 2 compared to the pre-industrial level within the next centuries!</t>
  </si>
  <si>
    <t xml:space="preserve">
Warnung: Die CO2-Konzentraion wird am Ende des 21-ten Jahrhunderts konstant sein, so dass die globale Mitteltemperatur bezogen auf den vorindustriellen Wert weiter um einen Faktor 1,5 bis 2 innerhalb der nächsten Jahrhunderte steigen wird!</t>
  </si>
  <si>
    <t>in Gtoe per year</t>
  </si>
  <si>
    <t>in Gtoe pro Jahr</t>
  </si>
  <si>
    <t>maximum CO2 storage capacity for BECCS or alternative</t>
  </si>
  <si>
    <t>maximale Speicherkapazität für CO2 von BECCS oder Alternative</t>
  </si>
  <si>
    <t xml:space="preserve">
Warnung: Am Ende des Jahrhunderts steigt der genutzte Anteil an verfügbarer Landfläche. Der Zustand ist daher nicht dauerhaft nachhaltig!</t>
  </si>
  <si>
    <t>how to use</t>
  </si>
  <si>
    <t>Nutzungshinweise</t>
  </si>
  <si>
    <t>"Fraction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t>
  </si>
  <si>
    <t>Der "Anteil Ackerland für Bio-Diversität" entspricht einer Zunahme der Landfläche, die ausschließlich der Unterstützung einer gedeihenden biologischen Vielfalt gewidmet ist, wie z.B. Blühstreifen zwischen Feldern oder Ackerland, das zeitweise nicht bewirtschaftet wird. Für eine entsprechende Zertifizierung müssten z.B. 12% der Ackerfläche als Blumenstreifen realisiert werden.</t>
  </si>
  <si>
    <t>"Sicherheit, mit der das Klimaziel erreicht werden soll" erlaubt es, den Grad der Gewissheit, mit der die globale Mitteltemperatur einen bestimmten Wert erreicht, als Funktion des ausgestoßenen CO2 einzustellen. Dies wird auf der Grundlage der entsprechenden Perzentilwerte des vom IPCC AR5 angegebenen Kohlenstoff-Budgets ausgewertet. Die Wahrscheinlichkeit, dass die geschätzten Temperaturen erreicht werden, entspricht dann diesem gewählten Wert.</t>
  </si>
  <si>
    <t>Urheberrecht</t>
  </si>
  <si>
    <t>This excel file is supplied under the following license: Attribution-NonCommercial-ShareAlike 4.0 International (CC BY-NC-SA 4.0). This also applies for data that are generated with this excel.</t>
  </si>
  <si>
    <t>Diese Excel-Datei wird unter der folgenden Lizenz zur Verfügung gestellt: Namensnennung - nicht kommerziell - ShareAlike 4.0 International (CC BY-NC-SA 4.0). Dies gilt auch für Daten, die mit diesem Excel erstellt werden.</t>
  </si>
  <si>
    <t>Namensnennung, Zitierung: Bilanz-basierte Welt-Szenarien, Andreas Pfennig, Université de Liège, Departement of Chemical Engineering, https://www.chemeng.uliege.be/Pfennig, www.vision3000.eu</t>
  </si>
  <si>
    <t>Note: This is a collection of some basic notes on how to use this excel and some assumptions. The background can be found in:</t>
  </si>
  <si>
    <t>Anmerkung: Dies ist eine Sammlung einiger grundlegender Anmerkungen zur Verwendung dieser Excel-Datei und einiger Annahmen. Erläuterungen zu den Hintergründen finden Sie in:</t>
  </si>
  <si>
    <t xml:space="preserve">
Caution: The fraction of animal-based food is below current value. Reaching this may require significant effort to educate people!</t>
  </si>
  <si>
    <t xml:space="preserve">
Achtung: Der Anteil tier-basierter Nahrungsmittel liegt unter dem heutigen Niveau. Um diesen Wert zu erreichen kann eine intensive Aufklärungsarbeit nötig sein!</t>
  </si>
  <si>
    <t>description</t>
  </si>
  <si>
    <t>Beschreibung</t>
  </si>
  <si>
    <t>settings to be copied into the red cells of the 'control' sheet</t>
  </si>
  <si>
    <t>in rote Zellen des Blattes 'control' zu kopierende Werte</t>
  </si>
  <si>
    <t>comments</t>
  </si>
  <si>
    <t>Kommentare</t>
  </si>
  <si>
    <t>Standard scenario with business as usual</t>
  </si>
  <si>
    <t>Standardszenario mit Business as usual</t>
  </si>
  <si>
    <t>A scenario where additionally the efforts for sustainable-energy transition are maximized starting 2025 so as to minimize climate change</t>
  </si>
  <si>
    <t>Ein Szenario, bei dem zusätzlich die Anstrengungen für den Übergang zu einer nachhaltigen Energiewirtschaft ab 2025 maximiert werden, um den Klimawandel zu minimieren.</t>
  </si>
  <si>
    <t>A scenario where sustainable-energy transition is intensified and additionally sustainability is accounted for in agriculture</t>
  </si>
  <si>
    <t>Ein Szenario, in dem der Übergang zu einer nachhaltigen Energiewirtschaft intensiviert wird und zusätzlich die Nachhaltigkeit in der Landwirtschaft berücksichtigt wird</t>
  </si>
  <si>
    <t>Scenario with additional shift to vegetarian nutrition</t>
  </si>
  <si>
    <t>Szenario mit zusätzlicher Umstellung auf vegetarische Ernährung</t>
  </si>
  <si>
    <t>Scenario with afforestation maximized and significant contribution of BECCS/alternative at a high level</t>
  </si>
  <si>
    <t>Szenario mit maximaler Aufforstung und signifikantem Beitrag von BECCS oder Alternative auf hohem Niveau</t>
  </si>
  <si>
    <t>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t>
  </si>
  <si>
    <t>Vorsicht: Die bisherigen Szenarien verwenden eine Bevölkerungsentwicklung zwischen mittlerer und hoher Variante. Bisher kann nicht ausgeschlossen werden, dass sich die Weltbevölkerung nach der hohen Variante entwickelt. Nach dem Vorsorgeprinzip muss daher bei der Bewertung von Maßnahmen zur Bewältigung der großen Herausforderungen der Menschheit auch das Szenario der hohen Bevölkerungszahl berücksichtigt werden.</t>
  </si>
  <si>
    <t>Scenario as before with high population variant</t>
  </si>
  <si>
    <t>Szenario wie bisher mit hoher Bevölkerungsvariante</t>
  </si>
  <si>
    <t>Scenario as before but with vegan nutrition</t>
  </si>
  <si>
    <t>Szenario wie zuvor, aber mit veganer Ernährung</t>
  </si>
  <si>
    <t>temperature is still controlled as before but now food is sufficient to feed everybody</t>
  </si>
  <si>
    <t>temperature is essentially unchanged, but now food is again not sufficient to feed everybody</t>
  </si>
  <si>
    <t>Sources</t>
  </si>
  <si>
    <t>Quellen</t>
  </si>
  <si>
    <t>energy data</t>
  </si>
  <si>
    <t>Energiedaten</t>
  </si>
  <si>
    <t>land area and agriculture</t>
  </si>
  <si>
    <t>Landfläche und Landwirtschaft</t>
  </si>
  <si>
    <t>carbon balance</t>
  </si>
  <si>
    <t>Kohlenstoffbilanz</t>
  </si>
  <si>
    <t>primary energy demand</t>
  </si>
  <si>
    <t>Primärenergiebedarf</t>
  </si>
  <si>
    <t>CO2 storage capacity</t>
  </si>
  <si>
    <t>CO2-Speicherkapazität</t>
  </si>
  <si>
    <t>CO2 to methanol</t>
  </si>
  <si>
    <t>CO2 zu Methanol</t>
  </si>
  <si>
    <t>accumulated data are shifted to match IPCC data from Table 2-2 on accumulated budget at the end of 2017 in</t>
  </si>
  <si>
    <t>Die addierten Daten werden so verschoben, dass sie mit den IPCC-Daten aus Tabelle 2-2 über das akkumulierte Budget Ende 2017 übereinstimmen.</t>
  </si>
  <si>
    <t>energy requirement relative to energy content</t>
  </si>
  <si>
    <t>Energiebedarf im Verhältnis zum Energiegehalt</t>
  </si>
  <si>
    <t>certainty with which the climate goal shall be reached</t>
  </si>
  <si>
    <t>Sicherheit, mit der das Klimaziel erreicht werden soll</t>
  </si>
  <si>
    <t>chosen percentile for climate response to CO2 emissions</t>
  </si>
  <si>
    <t>gewähltes Perzentil der Klima-Antwort auf die CO2-Emissionen</t>
  </si>
  <si>
    <t>chosen slope of climate response to CO2 emissions</t>
  </si>
  <si>
    <t>gewählte Steigung der Klima-Antwort auf die CO2-Emissionen</t>
  </si>
  <si>
    <t>primary energy 2100 incl. add. shares / value today</t>
  </si>
  <si>
    <t>Primärenergie 2100 inkl. zus. Beiträge / heutiger Wert</t>
  </si>
  <si>
    <t>scenarios of other studies</t>
  </si>
  <si>
    <t>Szenarien anderer Studien</t>
  </si>
  <si>
    <t>Note: Other studies cannot be exactly matched. Only roughly the overall behavior is mimicked. Please see individual notes for comments.</t>
  </si>
  <si>
    <t>Anmerkung: Andere Studien können nicht exakt abgebildet werden. Es lässt sich lediglich das generelle Verhalten etwa wiedergeben. Weitere Anmerkungen sind für jedes Szenario angegeben.</t>
  </si>
  <si>
    <t>Author and copyright: Andreas Pfennig. Details see here.</t>
  </si>
  <si>
    <t>Autor und Urheberrecht: Andreas Pfennig, Details finden Sie hier.</t>
  </si>
  <si>
    <t xml:space="preserve">
Warning: The UN has always upward corrected their population projections. Since additionally this population development lies below the 95% probability limit indicated by the UN, such a low population growth is extremely unlikely and would require a very fundamental shift in perceiving the issue of family planning as well as extreme increase in developmental aids!</t>
  </si>
  <si>
    <t>year in which BECCS or alternative starts</t>
  </si>
  <si>
    <t>Jahr, in dem mit BECCS oder Alternative begonnen wird</t>
  </si>
  <si>
    <t xml:space="preserve">
Caution: The per-capita primary-energy demand is more than 1.5 times higher than the current value. Thus, the overall energy expenses may be relatively high!</t>
  </si>
  <si>
    <t xml:space="preserve">
Vorsicht: Der Pro-Kopf-Primärenergiebedarf ist über 1,5-mal höher als der aktuelle Wert. Die Ausgaben für Energie können daher relativ hoch sein!</t>
  </si>
  <si>
    <t xml:space="preserve">
Warning: Direct air carbon capture (DACC) has until now not been shown to be feasible on larger scale. Thus, scenarios that rely on this technology may not be realizable or create excessive costs!</t>
  </si>
  <si>
    <t xml:space="preserve">
Warnung: Es wurde bisher nicht nachgewiesen, dass die direkte Abscheidung von Kohlenstoff aus der Luft (DACC, direct air carbon capture) in größerem Maßstab praktikabel ist. Daher sind Szenarien, die sich auf diese Technologie stützen, möglicherweise nicht realisierbar oder verursachen übermäßige Kosten!</t>
  </si>
  <si>
    <t xml:space="preserve">
Warning: A certainty of below 50% for achieving the indicated temperature means that it is more likely that the temperature will not be reached than that it will be reached. This adds significant risk to the scenario!</t>
  </si>
  <si>
    <t xml:space="preserve">
Warnung: Eine Wahrscheinlichkeit von unter 50% für das Erreichen der angegebenen Temperatur bedeutet, dass die Temperatur eher nicht erreicht wird, als dass sie erreicht wird. Dies erhöht das Risiko des Szenarios erheblich!</t>
  </si>
  <si>
    <t>acknowledgements</t>
  </si>
  <si>
    <t>Danksagung</t>
  </si>
  <si>
    <t>I would like to thank Dr. Alexander Graf for the very detailed discussion on the consequences of afforestation and Dr. Peter Klafka for helpful discussions on renewable energies.</t>
  </si>
  <si>
    <t>Ich danke Herrn Dr. Alexander Graf für die sehr detaillierte Diskussion zu den Konsequenzen der Aufforstung und Herrn Dr. Peter Klafka für hilfreiche Diskussionen zu erneuerbaren Energien.</t>
  </si>
  <si>
    <t xml:space="preserve">
Caution: Currently, a fraction of 12% fertile land area is required for being certified as appropriately considering biodiversity.</t>
  </si>
  <si>
    <t xml:space="preserve">
Achtung: Derzeit wird ein Anteil von 12% fruchtbarer Landfläche benötigt, um eine Zertifizierung als angemessen im Hinblick auf Biodiversität zu erhalten.</t>
  </si>
  <si>
    <t xml:space="preserve">
Caution: To ensure long-term fertility and minimize fertilizer demand, it is desired that 100% of fertile land area are cultivated in a sustainable way!</t>
  </si>
  <si>
    <t xml:space="preserve">
Achtung: Um die Fruchtbarkeit langfristig zu sichern und den Düngemittelbedarf zu minimieren, ist es erstrebenswert, dass 100% der fruchtbaren Landfläche nachhaltig bewirtschaftet werden!</t>
  </si>
  <si>
    <t xml:space="preserve">
Warning: For some years during this century there is not enough agricultural land available to feed everybody. Slowing down some of the transitions may allow a safer transition path. If this cannot be realized, either deforestation may be  required or more people will be undernourished!</t>
  </si>
  <si>
    <t xml:space="preserve">
Warnung: In diesem Jahrhundert gibt es für einige Jahre nicht genügend landwirtschaftliche Nutzfläche, um alle zu ernähren. Eine Verlangsamung einiger der Veränderungen könnte einen sichereren Übergangsweg ermöglichen. Falls dies nicht realisiert werden kann, kann entweder die Abholzung von Wäldern erforderlich sein oder es sind mehr Menschen unterernährt!</t>
  </si>
  <si>
    <t xml:space="preserve">
Warning: The rate of BECCS and alternatives exceeds what may be feasible according to estimates of the IPCC in the Fifth Assessment Report.</t>
  </si>
  <si>
    <t xml:space="preserve">
Warnung: Die Menge von BECCS und Alternativen übersteigt das, was nach den Schätzungen des IPCC im Fünften Sachstandsbericht möglich erscheint.</t>
  </si>
  <si>
    <t>maximum CO2 capture capacity by BECCS and Alternatives after IPCC</t>
  </si>
  <si>
    <t>maximale CO2-Abscheidungskapazität durch BECCS und Alternativen nach IPCC</t>
  </si>
  <si>
    <t>maximum CO2 capture capacity</t>
  </si>
  <si>
    <t>maximale CO2-Anscheiderate</t>
  </si>
  <si>
    <t xml:space="preserve">
Warning: If the reduction of atmospheric CO2 concentration takes too long, the established consequences of climate change may not be reversible any more! Currently, it is not scientifically clear, if the relevant time scale is millennia or possibly only several centuries.</t>
  </si>
  <si>
    <t xml:space="preserve">
Warnung: Wenn die Reduzierung der atmosphärischen CO2-Konzentration zu lange dauert, sind die bekannten Folgen des Klimawandels möglicherweise nicht mehr rückgängig zu machen! Es ist derzeit wissenschaftlich nicht klar, ob die relevante Zeitskala Jahrtausende oder möglicherweise nur mehrere Jahrhunderte beträgt.</t>
  </si>
  <si>
    <t xml:space="preserve">
Caution: For this setting for agricultural intensification, the agricultural productivity has to increase continually as in the last decades. This applies to plant-based as well as well as animal-based food. Such a low factor forces agriculture to intensify as in the past. If e.g. climate change adversely affects agricultural productivity, such high yield can not be ensured.</t>
  </si>
  <si>
    <t xml:space="preserve">
Achtung: Bei dieser Einstellung zur landwirtschaftlichen Intensivierung muss die landwirtschaftliche Produktivität wie in den letzten Jahrzehnten kontinuierlich zunehmen. Dies gilt sowohl für pflanzliche als auch für tier-basierte Nahrungsmittel. Ein solch niedriger Faktor zwingt die Landwirtschaft zu einer Intensivierung wie in der Vergangenheit. Wenn sich z.B. der Klimawandel negativ auf die landwirtschaftliche Produktivität auswirkt, können solch hohe Erträge nicht erreicht werden.</t>
  </si>
  <si>
    <t>lower limit for definitely increased effort to control population growth</t>
  </si>
  <si>
    <t>Untergrenze für höheren Aufwand zur Begrenzung Bevölkerungswachstum</t>
  </si>
  <si>
    <t>lower limit for possibly increased efforts to control population growth</t>
  </si>
  <si>
    <t>Untergrenze für evtl. höheren Aufwand zur Begrenzung Bevölkerungswachstum</t>
  </si>
  <si>
    <t>biofuels evaluation</t>
  </si>
  <si>
    <t>world average</t>
  </si>
  <si>
    <t>maximum productivity of major producer</t>
  </si>
  <si>
    <t>corn</t>
  </si>
  <si>
    <t>world</t>
  </si>
  <si>
    <t>kWh/(m2 a)</t>
  </si>
  <si>
    <t>wheat</t>
  </si>
  <si>
    <t>sugar cane</t>
  </si>
  <si>
    <t>Brazil</t>
  </si>
  <si>
    <t>environmentally critical, if significantly extended</t>
  </si>
  <si>
    <t>sugar beet</t>
  </si>
  <si>
    <t>France</t>
  </si>
  <si>
    <t>depends on appropriate soil quality and weather conditions, so can only be partial solution on larger scale</t>
  </si>
  <si>
    <t>rape seed</t>
  </si>
  <si>
    <t>sunflower seed</t>
  </si>
  <si>
    <t>too low, not to be expected as major contributor</t>
  </si>
  <si>
    <t>palm</t>
  </si>
  <si>
    <t>Malaysia</t>
  </si>
  <si>
    <t>Only world scale is relevant, because finally biofuels appear as major contribution to land-area demand.</t>
  </si>
  <si>
    <t>chosen average 2013:</t>
  </si>
  <si>
    <t>This is assumed as a mix mainly of corn, rape-seed oil and sugar beet.</t>
  </si>
  <si>
    <t>Possibly Miscanthus or other reeds may give slightly higher results, but unfortunately there are no yields available for national averages so that a fair comparison is not possible.</t>
  </si>
  <si>
    <t>Also Miscanthus would require significantly higher process efforts, reducing the effective energy output.</t>
  </si>
  <si>
    <t>BECCS, biofuels, biomaterials evaluation</t>
  </si>
  <si>
    <t>The following mass yields can be achieved on global scale</t>
  </si>
  <si>
    <t>https://phyllis.nl/Browse/Standard/ECN-Phyllis</t>
  </si>
  <si>
    <t>yield</t>
  </si>
  <si>
    <t>fraction major component</t>
  </si>
  <si>
    <t>energy content major component</t>
  </si>
  <si>
    <t>energy yield</t>
  </si>
  <si>
    <t>formula</t>
  </si>
  <si>
    <t>molar mass</t>
  </si>
  <si>
    <t>molar mass C</t>
  </si>
  <si>
    <t>yield as CH2</t>
  </si>
  <si>
    <t>t/ha</t>
  </si>
  <si>
    <t>starch</t>
  </si>
  <si>
    <t>MJ/kg</t>
  </si>
  <si>
    <t>kWh/kg</t>
  </si>
  <si>
    <t>kWh/ha</t>
  </si>
  <si>
    <t>C6H10O5</t>
  </si>
  <si>
    <t>g/mol</t>
  </si>
  <si>
    <t>corn straw</t>
  </si>
  <si>
    <t>cellulose</t>
  </si>
  <si>
    <t>total corn</t>
  </si>
  <si>
    <t>dry</t>
  </si>
  <si>
    <t>sugar</t>
  </si>
  <si>
    <t>C12H22O11</t>
  </si>
  <si>
    <t>methanol</t>
  </si>
  <si>
    <t>CH4O</t>
  </si>
  <si>
    <t>Accounted for starch being fermented to ethanol and CO2.</t>
  </si>
  <si>
    <t>ethanol</t>
  </si>
  <si>
    <t>C2H6O</t>
  </si>
  <si>
    <t>Then C-balance to yield 'CH2'-components from ethanol.</t>
  </si>
  <si>
    <t>CH2</t>
  </si>
  <si>
    <t>Here assumed 2.0t/ha, additional efficiency 0.8 of processes.</t>
  </si>
  <si>
    <t>CO2</t>
  </si>
  <si>
    <t>kWh/m^2</t>
  </si>
  <si>
    <t>chosen for BECCS</t>
  </si>
  <si>
    <t>CO2 conversion</t>
  </si>
  <si>
    <t>electricity required for converting CO2 to methanol</t>
  </si>
  <si>
    <t>kWh/kg MeOH</t>
  </si>
  <si>
    <t>exergy content methanol</t>
  </si>
  <si>
    <t>ratio</t>
  </si>
  <si>
    <t>FAOSTAT evaluation</t>
  </si>
  <si>
    <t>source</t>
  </si>
  <si>
    <t>and evaluation with own program from bulk data files downloaded from that website</t>
  </si>
  <si>
    <t>stock variation</t>
  </si>
  <si>
    <t>losses</t>
  </si>
  <si>
    <t>processing</t>
  </si>
  <si>
    <t>food</t>
  </si>
  <si>
    <t>other uses</t>
  </si>
  <si>
    <t>residuals</t>
  </si>
  <si>
    <t>tourist consumption</t>
  </si>
  <si>
    <t>domestic supply quantity</t>
  </si>
  <si>
    <t>production</t>
  </si>
  <si>
    <t>feed</t>
  </si>
  <si>
    <t>seed</t>
  </si>
  <si>
    <t>import quantity</t>
  </si>
  <si>
    <t>export quantity</t>
  </si>
  <si>
    <t>primary production</t>
  </si>
  <si>
    <t>sum all contributions</t>
  </si>
  <si>
    <t>mismatch factor</t>
  </si>
  <si>
    <t>population</t>
  </si>
  <si>
    <t>food supply total</t>
  </si>
  <si>
    <t>vegetal</t>
  </si>
  <si>
    <t>animal based</t>
  </si>
  <si>
    <t>sum</t>
  </si>
  <si>
    <t>from faostat</t>
  </si>
  <si>
    <t>from faostat directly</t>
  </si>
  <si>
    <t>sum countries</t>
  </si>
  <si>
    <t>kcal/a</t>
  </si>
  <si>
    <t>2014 WPP2019</t>
  </si>
  <si>
    <t>kcal/(cap d)</t>
  </si>
  <si>
    <t>average 12a</t>
  </si>
  <si>
    <t>For the new faostat data 2014 and following, which are evaluated differently by FAO, the data do not continuously extend the previous trends.</t>
  </si>
  <si>
    <t>production - processing</t>
  </si>
  <si>
    <t xml:space="preserve">As a consequence, the data from 2014 on cannot be used in conjunction with those until 2013. </t>
  </si>
  <si>
    <t>production - processing is almost the same as primary production.</t>
  </si>
  <si>
    <t>sum all categories is similar to production, but not identical</t>
  </si>
  <si>
    <t>Also in food supply there is an apparent inconsistency</t>
  </si>
  <si>
    <t>Especially the jump for food is not optimal for this study.</t>
  </si>
  <si>
    <t>Thus production counts primary products and products after processing twice.</t>
  </si>
  <si>
    <t>reason can be accumulation of errors in kcal evaluation or bookkeeping</t>
  </si>
  <si>
    <t>between overall data and summed values sinve 2014.</t>
  </si>
  <si>
    <t xml:space="preserve">Also, while the per-capita food supply is slightly below the </t>
  </si>
  <si>
    <t>processing would only need to be taken into account, if production (not primary production)</t>
  </si>
  <si>
    <t>Also scaling with overall ratio does not improve the results.</t>
  </si>
  <si>
    <t>Thus, only the data until 2013 are used.</t>
  </si>
  <si>
    <t>is regarded, because then the primary crops + the processed products would otherwise be counted twice.</t>
  </si>
  <si>
    <t>mismatch factor will be assumed to be 1</t>
  </si>
  <si>
    <t>deviation</t>
  </si>
  <si>
    <t xml:space="preserve">World results and sum over countries are almost identical, </t>
  </si>
  <si>
    <t>especially for the major contributions production, food, feed</t>
  </si>
  <si>
    <t>Thus world data are used.</t>
  </si>
  <si>
    <r>
      <t>Historical CO</t>
    </r>
    <r>
      <rPr>
        <b/>
        <vertAlign val="subscript"/>
        <sz val="12"/>
        <color indexed="8"/>
        <rFont val="Calibri"/>
        <family val="2"/>
      </rPr>
      <t>2</t>
    </r>
    <r>
      <rPr>
        <b/>
        <sz val="12"/>
        <color indexed="8"/>
        <rFont val="Calibri"/>
        <family val="2"/>
      </rPr>
      <t xml:space="preserve"> budget</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</si>
  <si>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</si>
  <si>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</si>
  <si>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1958. </t>
    </r>
  </si>
  <si>
    <r>
      <rPr>
        <b/>
        <sz val="12"/>
        <color indexed="14"/>
        <rFont val="Calibri"/>
        <family val="2"/>
      </rPr>
      <t>Uncertainties:</t>
    </r>
    <r>
      <rPr>
        <sz val="12"/>
        <color indexed="14"/>
        <rFont val="Calibri"/>
        <family val="2"/>
      </rPr>
      <t xml:space="preserve"> see the original papers for uncertainties</t>
    </r>
  </si>
  <si>
    <t>Cite as:</t>
  </si>
  <si>
    <t>Fossil fuel combustion and cement production emissions:  Gilfillan, D., Marland, G., Boden, T. and Andres, R.: Global, Regional, and National Fossil-Fuel CO2 Emissions, available at: https://energy.appstate.edu/CDIAC, last access: 27 September 2019, 2019.</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</si>
  <si>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</si>
  <si>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Atmospheric CO2 growth rate: Joos, F. and Spahni, R.: Rates of change in natural and anthropogenic radiative forcing over the past 20,000 years, Proceedings of the National Academy of Science, 105, 1425-1430, 2008.</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</si>
  <si>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</si>
  <si>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t>The land sink is the average of several dynamic global vegetation models that reproduce the observed mean total land sink of the 1990s.</t>
  </si>
  <si>
    <t xml:space="preserve">The budget imbalance is the sum of emissions (fossil fuel and industry + land-use change) minus (atmospheric growth + ocean sink + land sink); it is a measure of our imperfect data and understanding of the contemporary carbon cycle. </t>
  </si>
  <si>
    <t>evaluations by Andreas Pfennig</t>
  </si>
  <si>
    <t xml:space="preserve">total emissions </t>
  </si>
  <si>
    <t>accumulated emissions</t>
  </si>
  <si>
    <t>IPCC-adjusted accumulated emissions relative to 1875</t>
  </si>
  <si>
    <t>Year</t>
  </si>
  <si>
    <t>fossil fuel and industry</t>
  </si>
  <si>
    <t>land-use change emissions</t>
  </si>
  <si>
    <t>atmospheric growth</t>
  </si>
  <si>
    <t>ocean sink</t>
  </si>
  <si>
    <t>land sink</t>
  </si>
  <si>
    <t>budget imbalance</t>
  </si>
  <si>
    <t>in GtCO2/a</t>
  </si>
  <si>
    <t>in GtCO2</t>
  </si>
  <si>
    <t>after IPCC SR1.5, Table 2-2</t>
  </si>
  <si>
    <t>toe</t>
  </si>
  <si>
    <t>kWh</t>
  </si>
  <si>
    <t>kgoe</t>
  </si>
  <si>
    <t>atmosphere</t>
  </si>
  <si>
    <t>kg</t>
  </si>
  <si>
    <t>https://en.wikipedia.org/wiki/Atmosphere_of_Earth</t>
  </si>
  <si>
    <t>air:</t>
  </si>
  <si>
    <t>mol</t>
  </si>
  <si>
    <t>kg/mol</t>
  </si>
  <si>
    <t>C</t>
  </si>
  <si>
    <t>kcal</t>
  </si>
  <si>
    <t>kJ=kWs</t>
  </si>
  <si>
    <t>kg -CH2-</t>
  </si>
  <si>
    <t>kg CO2</t>
  </si>
  <si>
    <t>tests:</t>
  </si>
  <si>
    <t>world energy consumption</t>
  </si>
  <si>
    <t>for energy plot</t>
  </si>
  <si>
    <t>CO2 emissions</t>
  </si>
  <si>
    <t>agricultural productivity</t>
  </si>
  <si>
    <t>for land-area diagram</t>
  </si>
  <si>
    <t>estimate</t>
  </si>
  <si>
    <t>OECD countries estimate</t>
  </si>
  <si>
    <t>non-OECD countries estimate</t>
  </si>
  <si>
    <t>low variant</t>
  </si>
  <si>
    <t>medium variant</t>
  </si>
  <si>
    <t>high variant</t>
  </si>
  <si>
    <t>primary energy</t>
  </si>
  <si>
    <t>OECD countries primary energy</t>
  </si>
  <si>
    <t>non-OECD countries primary energy</t>
  </si>
  <si>
    <t>geothermal, biomass, other</t>
  </si>
  <si>
    <t>biofuels</t>
  </si>
  <si>
    <t>CO2 emissions fossil and industry</t>
  </si>
  <si>
    <t>CO2 emissions land-use change</t>
  </si>
  <si>
    <t>total CO2 emissions</t>
  </si>
  <si>
    <t>total fossil</t>
  </si>
  <si>
    <t>all CO2/total fossil</t>
  </si>
  <si>
    <t>primary energy per capita</t>
  </si>
  <si>
    <t>OECD primary energy per capita</t>
  </si>
  <si>
    <t>non-OECD primary energy per capita</t>
  </si>
  <si>
    <t>annual growth rate solar + wind</t>
  </si>
  <si>
    <t>5a-average annual growth rate solar+wind</t>
  </si>
  <si>
    <t>substitution rate solar + wind</t>
  </si>
  <si>
    <t>annual growth of hydro-electricity</t>
  </si>
  <si>
    <t>annual growth biofuels</t>
  </si>
  <si>
    <t>fraction geothermal, biomass, other</t>
  </si>
  <si>
    <t>fraction biofuels</t>
  </si>
  <si>
    <t>future hydro-electricity</t>
  </si>
  <si>
    <t>mass dry bomass as C6H10O5</t>
  </si>
  <si>
    <t>future fraction CO2-/bio-fuels of primary energy</t>
  </si>
  <si>
    <t>future CO2/bio-fuels</t>
  </si>
  <si>
    <t>future biofuels</t>
  </si>
  <si>
    <t>future CO2-fuels</t>
  </si>
  <si>
    <t>per capita total primary energy demand</t>
  </si>
  <si>
    <t>future fossils consumption</t>
  </si>
  <si>
    <t>year of end of fossils</t>
  </si>
  <si>
    <t>future substitution rate</t>
  </si>
  <si>
    <t>per capita net CO2 production</t>
  </si>
  <si>
    <t>accumulated CO2 net emitted into atmosphere</t>
  </si>
  <si>
    <t>Cropland</t>
  </si>
  <si>
    <t>Permanent meadows and pastures</t>
  </si>
  <si>
    <t>Forest land</t>
  </si>
  <si>
    <t>annual growth factor cropland</t>
  </si>
  <si>
    <t>annual growth factor permanent meadows and pastures</t>
  </si>
  <si>
    <t>annual growth factor forest land</t>
  </si>
  <si>
    <t>primary production vegetal</t>
  </si>
  <si>
    <t>primary production animal based</t>
  </si>
  <si>
    <t>primary production sum</t>
  </si>
  <si>
    <t>feed vegetal</t>
  </si>
  <si>
    <t>feed animal based</t>
  </si>
  <si>
    <t>feed sum</t>
  </si>
  <si>
    <t>food vegetal</t>
  </si>
  <si>
    <t>food animal based</t>
  </si>
  <si>
    <t>food sum</t>
  </si>
  <si>
    <t>other uses vegetal</t>
  </si>
  <si>
    <t>other uses animal based</t>
  </si>
  <si>
    <t>other uses sum</t>
  </si>
  <si>
    <t>processing vegetal</t>
  </si>
  <si>
    <t>processing animal based</t>
  </si>
  <si>
    <t>processing sum</t>
  </si>
  <si>
    <t>seed vegetal</t>
  </si>
  <si>
    <t>seed animal based</t>
  </si>
  <si>
    <t>seed sum</t>
  </si>
  <si>
    <t>losses vegetal</t>
  </si>
  <si>
    <t>losses animal based</t>
  </si>
  <si>
    <t>losses sum</t>
  </si>
  <si>
    <t>per capita food supply</t>
  </si>
  <si>
    <t>future per capita food supply</t>
  </si>
  <si>
    <t>fraction animal-based food / total food supply</t>
  </si>
  <si>
    <t>future fraction animal-based food / total food supply</t>
  </si>
  <si>
    <t>chosen fraction animal-based food / total food supply</t>
  </si>
  <si>
    <t>fraction animal-based food / total food supply Germany</t>
  </si>
  <si>
    <t>fraction animal-based food / total food supply China</t>
  </si>
  <si>
    <t>fraction animal-based food / total food supply India</t>
  </si>
  <si>
    <t>fraction animal-based food / total food supply USA</t>
  </si>
  <si>
    <t>per capita food vegetal</t>
  </si>
  <si>
    <t>future per capita food vegetal</t>
  </si>
  <si>
    <t xml:space="preserve">per capita food animal based </t>
  </si>
  <si>
    <t>future per capita food animal based</t>
  </si>
  <si>
    <t>specific vegetal primary productivity</t>
  </si>
  <si>
    <t>relative annual increase in specific vegetal primary productivity</t>
  </si>
  <si>
    <t>future specific vegetal primary productivity</t>
  </si>
  <si>
    <t>chosen vegetal specific primary productivity</t>
  </si>
  <si>
    <t>land area pasture per animal primary production</t>
  </si>
  <si>
    <t>future land area pasture per animal primary production</t>
  </si>
  <si>
    <t>chosen land area pasture per animal primary production</t>
  </si>
  <si>
    <t>feed vegetal / animal-based primary production</t>
  </si>
  <si>
    <t>future vegetal feed / animal-based primary production</t>
  </si>
  <si>
    <t>chosen feed / animal-based primary production</t>
  </si>
  <si>
    <t>animal based food / primary production</t>
  </si>
  <si>
    <t>future animal based food / primary production</t>
  </si>
  <si>
    <t>chosen animal based food / primary production</t>
  </si>
  <si>
    <t>seed vegetal /primary production vegetal</t>
  </si>
  <si>
    <t>future seed vegetal /primary production vegetal</t>
  </si>
  <si>
    <t>chosen seed vegetal /primary production vegetal</t>
  </si>
  <si>
    <t>losses vegetal / primary production vegetal</t>
  </si>
  <si>
    <t>future losses / primary production vegetal</t>
  </si>
  <si>
    <t>chosene losses / primary production vegetal</t>
  </si>
  <si>
    <t>land area meadows and pastures</t>
  </si>
  <si>
    <t>arable land for feed production</t>
  </si>
  <si>
    <t>specific biofuels productivity</t>
  </si>
  <si>
    <t>arable land for biofuels</t>
  </si>
  <si>
    <t>land area for other uses vegetal</t>
  </si>
  <si>
    <t>land area bio-materials</t>
  </si>
  <si>
    <t>bio-materials per person</t>
  </si>
  <si>
    <t>future biomaterials production</t>
  </si>
  <si>
    <t>future arable land for bio-materials production</t>
  </si>
  <si>
    <t>arable land for food production</t>
  </si>
  <si>
    <t>arable land for all except seed and losses vegetal</t>
  </si>
  <si>
    <t>arable land for primary production</t>
  </si>
  <si>
    <t>arable land for seed</t>
  </si>
  <si>
    <t>arable land area for losses</t>
  </si>
  <si>
    <t>arable land for food, if animal-free nutrition</t>
  </si>
  <si>
    <t>additional arable land for feed</t>
  </si>
  <si>
    <t>land-area specific productivity of BECCS</t>
  </si>
  <si>
    <t>arable land for BECCS</t>
  </si>
  <si>
    <t>fraction arable land organic farming</t>
  </si>
  <si>
    <t>additional arable land for organic farming</t>
  </si>
  <si>
    <t>fraction arable land for biodiversity</t>
  </si>
  <si>
    <t>additional arable land for biodiversity</t>
  </si>
  <si>
    <t>fraction additional land for afforestation</t>
  </si>
  <si>
    <t>additional land area only for afforestation</t>
  </si>
  <si>
    <t>land area for vegetal food, seed, and losses</t>
  </si>
  <si>
    <t>arable land for bio-fuels</t>
  </si>
  <si>
    <t>arable land for bio-materials</t>
  </si>
  <si>
    <t>additional land area for organic farming</t>
  </si>
  <si>
    <t>additional land area for bio-diversity</t>
  </si>
  <si>
    <t>additional land area for stopping deforstation and afforestation</t>
  </si>
  <si>
    <t>additional land area for feed</t>
  </si>
  <si>
    <t>land area for meadows and pasture</t>
  </si>
  <si>
    <t>sum areas vegan nutrition</t>
  </si>
  <si>
    <t>sum areas</t>
  </si>
  <si>
    <t>available cropland</t>
  </si>
  <si>
    <t>available arable + meadows + pasture</t>
  </si>
  <si>
    <t>available forest</t>
  </si>
  <si>
    <t>fraction forest to deforest vegan nutrition</t>
  </si>
  <si>
    <t>fraction forests to deforest</t>
  </si>
  <si>
    <t>1000 cap</t>
  </si>
  <si>
    <t>cap</t>
  </si>
  <si>
    <t>Mtoe/a</t>
  </si>
  <si>
    <t>ktoe/a</t>
  </si>
  <si>
    <t>GtC/a</t>
  </si>
  <si>
    <t>GtCO2/a</t>
  </si>
  <si>
    <t>-- mass based</t>
  </si>
  <si>
    <t>kWh/(cap a)</t>
  </si>
  <si>
    <t>kWh/a</t>
  </si>
  <si>
    <t>--</t>
  </si>
  <si>
    <t>Mtoe/a^2</t>
  </si>
  <si>
    <t>Mt/a</t>
  </si>
  <si>
    <t>GtCO2</t>
  </si>
  <si>
    <t>tCO2/(cap a)</t>
  </si>
  <si>
    <t>K (or °C)</t>
  </si>
  <si>
    <t>Area (1000 Ha)</t>
  </si>
  <si>
    <t>m^2</t>
  </si>
  <si>
    <t>kcal/(m^2 a)</t>
  </si>
  <si>
    <t>kcal/(m^2 a^2)</t>
  </si>
  <si>
    <t>kWh/(m^2 a)</t>
  </si>
  <si>
    <t>m2*a/kcal</t>
  </si>
  <si>
    <t>kcal/kcal</t>
  </si>
  <si>
    <t>m2</t>
  </si>
  <si>
    <t>Mt</t>
  </si>
  <si>
    <t>kg/cap</t>
  </si>
  <si>
    <t>m^2/cap</t>
  </si>
  <si>
    <t>from WPP2019_POP_F01_1_TOTAL_POPULATION_BOTH_SEXES.xlsx</t>
  </si>
  <si>
    <t>adjust units</t>
  </si>
  <si>
    <t>from bp-stats-review-2019-all-data.xlsx</t>
  </si>
  <si>
    <t>average 20a:</t>
  </si>
  <si>
    <t xml:space="preserve"> </t>
  </si>
  <si>
    <t>ave. last 7a</t>
  </si>
  <si>
    <t>max</t>
  </si>
  <si>
    <t>ave last 15a</t>
  </si>
  <si>
    <t>ave. last 15a</t>
  </si>
  <si>
    <t>sum accumulated</t>
  </si>
  <si>
    <t>last fossil:</t>
  </si>
  <si>
    <t>http://www.fao.org/faostat/en/</t>
  </si>
  <si>
    <t>ave 8a</t>
  </si>
  <si>
    <t>from evaluation of FAOSAT data</t>
  </si>
  <si>
    <t>last-first</t>
  </si>
  <si>
    <t>average</t>
  </si>
  <si>
    <t>area other uses - biofuels 2013</t>
  </si>
  <si>
    <t>from https://population.un.org/wpp/Download/Standard/Population/</t>
  </si>
  <si>
    <t>from https://www.bp.com/en/global/corporate/energy-economics/statistical-review-of-world-energy.html</t>
  </si>
  <si>
    <t>see sheet evaluations</t>
  </si>
  <si>
    <t>kWh/(cap a^2)</t>
  </si>
  <si>
    <t>kg/(cap a)</t>
  </si>
  <si>
    <t>IEA 2008 CO2 CAPTURE AND STORAGE - A key carbon abatement option</t>
  </si>
  <si>
    <t>kWh/t CO2</t>
  </si>
  <si>
    <t>K/GtCO2</t>
  </si>
  <si>
    <t>°C</t>
  </si>
  <si>
    <t>m^2*a/kcal</t>
  </si>
  <si>
    <t>a</t>
  </si>
  <si>
    <t>GtCO2/century</t>
  </si>
  <si>
    <t>kcal/(cap a^2)</t>
  </si>
  <si>
    <t>kcal/(cap a^3)</t>
  </si>
  <si>
    <t>------</t>
  </si>
  <si>
    <t>-®</t>
  </si>
  <si>
    <t>https://www.chemeng.uliege.be/Pfennig</t>
  </si>
  <si>
    <t>www.vision3000.eu</t>
  </si>
  <si>
    <t>A. Pfennig: Sustainable Bio‐ or CO2 Economy: Chances, Risks, and Systems Perspective. ChemBioEng Reviews 2019, 6(3), 90-104</t>
  </si>
  <si>
    <t>https://www.doi.org/10.1002/cben.201900006</t>
  </si>
  <si>
    <t>A. Pfennig: Klima-Wende-Zeit: Warum wir auch bei Entwicklungshilfe und Ernährung umdenken müssen. Books on Demand, Norderstedt, 2019</t>
  </si>
  <si>
    <t>https://www.bod.de/buchshop/klima-wende-zeit-andreas-pfennig-9783749478378</t>
  </si>
  <si>
    <t>Version</t>
  </si>
  <si>
    <t>%</t>
  </si>
  <si>
    <t>Gt CO2</t>
  </si>
  <si>
    <t xml:space="preserve">   </t>
  </si>
  <si>
    <t>Obergrenze für Pro-Kopf-Primärenergie-Konsum</t>
  </si>
  <si>
    <t>upper limit of per-capita primary-energy consumption</t>
  </si>
  <si>
    <t>future DACCS</t>
  </si>
  <si>
    <t>MtCO2/a</t>
  </si>
  <si>
    <t>future CO2 capture by BECCS and DACCS</t>
  </si>
  <si>
    <t xml:space="preserve">
Warning: DACCS will require large amounts of primary energy leading to significant increase in electricity cost.</t>
  </si>
  <si>
    <t xml:space="preserve">
Warnung: DACCS wird viel Primärenergie benötigen, was zu einem erheblichen Anstieg der Stromkosten führt.</t>
  </si>
  <si>
    <t xml:space="preserve">
Achtung:  Es bedarf der gesellschaftlichen Zustimmung, um BECCS oder/und DACCS mit dauerhafter unterirdischer Speicherung von Kohlendioxid, hydrothermale Carbonisierung von Biomasse und Speicherung des Kohlenstoffs im Boden oder andere Alternativen der Nutzung mit langfristiger Kohlenstoff-Speicherung zu verwenden. Diese Zustimmung wird möglicherweise schwer zu erlangen sein!</t>
  </si>
  <si>
    <t xml:space="preserve">
Caution:  Societal consent is required to use BECCS or/and DACCS with permanent underground storage of carbon dioxide, hydro-thermal carbonization and storage in soil or other utilization with long-term storage of carbon. This consent may be difficult to acquire!</t>
  </si>
  <si>
    <t>"Contribution of DACCS to CO2 removal" indicates how much direct CO2 capture from air and storage is realized. As a reference, today around 42 Gt CO2 are emitted anually. If a significant contribution to reduction of CO2 concetrantion in the atmoisphere is desired, the value should constitute significant fractions of this.</t>
  </si>
  <si>
    <t>"Beitrag von DACCS zur CO2-Entfernung" gibt an, wie viel direkte CO2-Abscheidung aus der Luft und Speicherung realisiert wird. Als Anhaltspunkt werden derzeit etwa 42 Gt CO2 pro Jahr emittiert. Wenn ein signifikanter Beitrag zur Reduzierung der CO2-Konzentration in der Atmoisphäre angestrebt wird, sollte der Wert signifikante Anteile dieses Wertes betragen.</t>
  </si>
  <si>
    <t>Horlacher 2003 Globale Potenziale der Wasserkraft, Externe Expertise für das WBGU-Hauptgutachten 2003 "Welt im Wandel: Energiewende zur Nachhaltigkeit", https://www.wbgu.de/de/publikationen/publikation/welt-im-wandel-energiewende-zur-nachhaltigkeit</t>
  </si>
  <si>
    <t>biofuels &amp; biomass production</t>
  </si>
  <si>
    <t>year until which primary-energy demand reaches final value</t>
  </si>
  <si>
    <t>Jahr bis zu dem der Pro-Kopf-Energiekonsum den Endwert erreicht</t>
  </si>
  <si>
    <t>cost DACCS</t>
  </si>
  <si>
    <t>Kosten</t>
  </si>
  <si>
    <t>€/t CO2</t>
  </si>
  <si>
    <t>€/a</t>
  </si>
  <si>
    <t>Wind bis 2018</t>
  </si>
  <si>
    <t>Solar bis 2018</t>
  </si>
  <si>
    <t>wind to 2018</t>
  </si>
  <si>
    <t>solar to 2018</t>
  </si>
  <si>
    <t>fossils from 2019</t>
  </si>
  <si>
    <t>fossile ab 2019</t>
  </si>
  <si>
    <t>year until DACCS will be fully established</t>
  </si>
  <si>
    <t>Jahr bis zu dem DACCS etabliert ist</t>
  </si>
  <si>
    <t>year from which on DACCS will be implemented</t>
  </si>
  <si>
    <t>Jahr ab dem DACCS implementiert wird</t>
  </si>
  <si>
    <t>Erderwärmung 2100 bezogen auf Mittel 1850 bis 1900</t>
  </si>
  <si>
    <t>temperature increase 2100 above average 1850 to 1900</t>
  </si>
  <si>
    <t>CO2 captured annually by BECCS and DACCS in 2100</t>
  </si>
  <si>
    <t>jährl. CO2-Absch. durch BECCS und DACCS in 2100</t>
  </si>
  <si>
    <t>Summe DACCS und BECCS bis 2100</t>
  </si>
  <si>
    <t>accumulated CO2 captured by BECCS and DACCS</t>
  </si>
  <si>
    <t>global average temperature shift as compared to preindustrial</t>
  </si>
  <si>
    <t>sum DACCS and BECCS until 2100</t>
  </si>
  <si>
    <t>only relevant for internal use, scales slider value for further calculations</t>
  </si>
  <si>
    <t>1 - low, 2 - medium, 3 -high, linear interpolation and extrapolation</t>
  </si>
  <si>
    <t>1 - niedrig, 2 - mittel, 3 - hoch, lineare Inter- und Extrapolation</t>
  </si>
  <si>
    <t>untere 95%-Wahrscheinlichkeits-Grenze der probabilistischen UN-Projektionen für 2100</t>
  </si>
  <si>
    <t>lower 95% probability limit of the UN probabilistic projections for 2100 of WPP2019</t>
  </si>
  <si>
    <t>selected limit for caution message</t>
  </si>
  <si>
    <t>selected limit for warning message</t>
  </si>
  <si>
    <t>I. Arto, I. Capellán-Pérez, R. Lago, G. Bueno, R. Bermejo, The energy require-ments of a developed world. Energy Sustainable Dev. 2016, 33, 1-13. https://doi.org/10.1016/j.esd.2016.04.001</t>
  </si>
  <si>
    <t>fitted to historical data of annual primary energy consumption per capita, see sheet "data"</t>
  </si>
  <si>
    <t>chosen upper limit of annual per capita primary-energy consumption, double the value of Arto et al.</t>
  </si>
  <si>
    <t>chosen lower limit of annaul per capita primary-energy consumption: current value of 2018</t>
  </si>
  <si>
    <t>result of slider settings</t>
  </si>
  <si>
    <t>% CO2-basiert</t>
  </si>
  <si>
    <t>Anteil CO2-/bio-basierter Kraftstoffe an Primärenergie</t>
  </si>
  <si>
    <t>fraction of agricultural land for afforestation</t>
  </si>
  <si>
    <t>Anteil an der Agrarfläche für Aufforstung</t>
  </si>
  <si>
    <t>% CO2-based</t>
  </si>
  <si>
    <t>fraction of CO2-based vs. bio-based economy</t>
  </si>
  <si>
    <t>fraction CO2-/bio-based fuels of primary energy</t>
  </si>
  <si>
    <t>contribution of DACCS/BECCS to CO2 removal</t>
  </si>
  <si>
    <t>Beitrag von DACCS/BECCS zur CO2-Entfernung</t>
  </si>
  <si>
    <t>future CO2 capture with BECCS</t>
  </si>
  <si>
    <t>CO2-based</t>
  </si>
  <si>
    <t>CO2-basiert</t>
  </si>
  <si>
    <t>yield major component</t>
  </si>
  <si>
    <t>maximum contribution of BECCS to CO2 capture</t>
  </si>
  <si>
    <t>maximaler Anteil von BECCS zur CO2-Abtrennung</t>
  </si>
  <si>
    <t>maximum contribution of DACCS to CO2 capture</t>
  </si>
  <si>
    <t>maximaler Anteil von DACCS zur CO2-Abtrennung</t>
  </si>
  <si>
    <t>energy content of biomass dry matter as CH2</t>
  </si>
  <si>
    <t>Energieinhalt von trockener Biomasse als CH2</t>
  </si>
  <si>
    <t>kg C6H10O5</t>
  </si>
  <si>
    <t>kg starch</t>
  </si>
  <si>
    <t>starch, cellulose</t>
  </si>
  <si>
    <t>carbon</t>
  </si>
  <si>
    <t>carbon dioxide</t>
  </si>
  <si>
    <t>Wirkungsgrad der CO2-Abtrennung bei BECCS</t>
  </si>
  <si>
    <t>efficiency of carbon capture with BECCS</t>
  </si>
  <si>
    <t>Kraftwerks-Wirkungsgradeinbuße durch CCS bezogen auf Output</t>
  </si>
  <si>
    <t>power-plant efficiency loss due to CCS relative to output</t>
  </si>
  <si>
    <t>for starch from https://phyllis.nl/Browse/Standard/ECN-Phyllis</t>
  </si>
  <si>
    <t>future primary energy per capita without BECCS and CO2-economy</t>
  </si>
  <si>
    <t>chosen primary energy without BECCS and CO2-economy per capita</t>
  </si>
  <si>
    <t>chosen primary energy without BECCS and CO2-economy</t>
  </si>
  <si>
    <t>future available bioenergy from BECCS</t>
  </si>
  <si>
    <t>CO2-based fraction of CO2-/bio-based fuels and materials</t>
  </si>
  <si>
    <t>assumed in http://www.bp.com/statisticalreview for converting heat-based primary energy to electricity/exergy from average power-plant efficiency</t>
  </si>
  <si>
    <t>material feedstock demand per capita as CH2O</t>
  </si>
  <si>
    <t>Pro-Kopf-Bedarf für Materialien als CH2O</t>
  </si>
  <si>
    <t>CO2-/bio-materials as CH2O</t>
  </si>
  <si>
    <t>future bio-materials as CH2O</t>
  </si>
  <si>
    <t>future CO2-materials as CH2O</t>
  </si>
  <si>
    <t>CO2 for fuels and materials</t>
  </si>
  <si>
    <t>kg MeOH</t>
  </si>
  <si>
    <t>CH2O</t>
  </si>
  <si>
    <t>characteristic biobased material</t>
  </si>
  <si>
    <t>Strom für Methanolherstellung aus CO2</t>
  </si>
  <si>
    <t>electricity required for producing methanol from CO2</t>
  </si>
  <si>
    <t>electricity for MeOH production (DECHEMA, FutureCamp, VCI, 2019: Roadmap Chemie 2050, https://dechema.de/chemie2050.html)</t>
  </si>
  <si>
    <t>CH3OH</t>
  </si>
  <si>
    <t>methanol, MeOH</t>
  </si>
  <si>
    <t>additional energy for converting CO2 to fuels and materials</t>
  </si>
  <si>
    <t>additional energy obtaining CO2 from atmosphere for fuels and materials</t>
  </si>
  <si>
    <t>total additional energy for CO2 energy and materials</t>
  </si>
  <si>
    <t>remaining energy for solar, wind and fossil before DACCS</t>
  </si>
  <si>
    <t>potential future solar + wind</t>
  </si>
  <si>
    <t>future solar + wind without DACCS</t>
  </si>
  <si>
    <t>additional potential for solar + wind</t>
  </si>
  <si>
    <t>potential DACCS from excess potential of solar + wind</t>
  </si>
  <si>
    <t>future energy demand for DACCS</t>
  </si>
  <si>
    <t>future total energy demand incl. DACCS</t>
  </si>
  <si>
    <t>year of end establishing DACCS</t>
  </si>
  <si>
    <t>DACCS established:</t>
  </si>
  <si>
    <t>MtCH2O/a</t>
  </si>
  <si>
    <t>future solar+wind incl. DACCS</t>
  </si>
  <si>
    <t>total primary energy demand with fuels and matgerials</t>
  </si>
  <si>
    <t>Bio/CO2-Kraftst.</t>
  </si>
  <si>
    <t>bio/CO2-fuels</t>
  </si>
  <si>
    <t>fossil-fuel consumption ended / DACCS established in</t>
  </si>
  <si>
    <t>Jahr, ab dem Energiewende intensiviert wird, BECCS und Aufforstung starten</t>
  </si>
  <si>
    <t>no DACCS</t>
  </si>
  <si>
    <t>kein DACCS</t>
  </si>
  <si>
    <t>Jahr, ab dem Energiewende, etc. intensiviert wird</t>
  </si>
  <si>
    <t>controlled by slider, also applies to start of BECCS and afforestation</t>
  </si>
  <si>
    <t>number of years for transition: BECCS, afforestation, nutrition, etc.</t>
  </si>
  <si>
    <t>Anzahl Jahre für Implementierung: BECCS, Aufforstung, Ernährung</t>
  </si>
  <si>
    <t>Jahr, bis zu dem alle Übergänge außer Energiewende und DACCS etabliert sind</t>
  </si>
  <si>
    <t>year until which all transitions except energy trans. and DACCS are established</t>
  </si>
  <si>
    <t xml:space="preserve">
Warning: Towards the end of the century the utilized fraction of available land area is increasing, so that the situation is not long-term sustainable!</t>
  </si>
  <si>
    <t xml:space="preserve">
Warning: The per-capita primary-energy demand incl. that for CO2-based economy is more than twice the current value. Thus, the overall energy expenses may be excessive!</t>
  </si>
  <si>
    <t xml:space="preserve">
Warnung: Der Pro-Kopf-Primärenergiebedarf incl. der Bedarf für die CO2-Ökonomie ist mehr als doppelt so hoch wie der aktuelle Wert. Daher können die Gesamtausgaben für Energie unangemessen hoch sein!</t>
  </si>
  <si>
    <t>accumulated</t>
  </si>
  <si>
    <t xml:space="preserve">
Warnung: Es stehen womöglich nicht genügend Speicher-Kapazitäten bis 2100 für das CO2 aus DACCS, BECCS oder Alternative zur Verfügung!</t>
  </si>
  <si>
    <t xml:space="preserve">
Warning: There may not be enough storage capacity for CO2 until 2100 from DACCS, BECCS, or alternative!</t>
  </si>
  <si>
    <t>evaluated from data</t>
  </si>
  <si>
    <t>Intensivierung Landwirtschaft, 0% - konst., 100% - max.</t>
  </si>
  <si>
    <t>Intensivierung Tierwirtschaft, 0% - konst., 100% - max.</t>
  </si>
  <si>
    <t>intensification agriculture, 0% = const., 100% = max.</t>
  </si>
  <si>
    <t>intensification livestock prod., 0% = const., 100% = max.</t>
  </si>
  <si>
    <t>Intensivierung Landwirtschaft, 0 - konst., 1 - max.</t>
  </si>
  <si>
    <t>intensification agriculture, 0 = const., 1 = max.</t>
  </si>
  <si>
    <t>intensification livestock production, 0 = const., 1 = max.</t>
  </si>
  <si>
    <t>Intensivierung Tierwirtschaft, 0 - konst., 1 - max.</t>
  </si>
  <si>
    <t>pasture intensity, x0 in A1*exp(-(x-x0)/t1) in m^2*a/kcal</t>
  </si>
  <si>
    <t>potential future land area pasture per animal primary production</t>
  </si>
  <si>
    <t>potential future vegetal feed / animal-based primary production</t>
  </si>
  <si>
    <t>fraction BECCS of primary energy in 2100</t>
  </si>
  <si>
    <t>Anteil BECCS an Primärenergie in 2100</t>
  </si>
  <si>
    <t>maximum global warming reached</t>
  </si>
  <si>
    <t>Maximale Erderwärmung</t>
  </si>
  <si>
    <t>maximum</t>
  </si>
  <si>
    <t>Weltbevölkerung (1-niedrig, 2-mittel, 3-hoch)</t>
  </si>
  <si>
    <t>world population (1-low, 2-medium, 3-high)</t>
  </si>
  <si>
    <t xml:space="preserve">
Warnung: Die UN hat ihre Bevölkerungsprojektionen stets nach oben korrigiert. Da diese Bevölkerungsentwicklung zudem unter der 95%-Wahrscheinlichkeitsgrenze der UN liegt, ist ein so geringes Bevölkerungswachstum äußerst unwahrscheinlich und würde eine sehr grundlegende Veränderung in der Wahrnehmung des Themas Familienplanung sowie eine extreme Intensivierung der Entwicklungszusammenarbeit erfordern!</t>
  </si>
  <si>
    <t xml:space="preserve">
Achtung: Die Verwendung von CO2 als Ausgangsmaterial für Chemikalien, Materialien und Brennstoffe hat den Vorteil, dass es nicht mit der Nahrungsmittelproduktion um Landfläche konkurriert. Aber die Technologie ist sehr energieintensiv, was ziemlich teuer werden kann. </t>
  </si>
  <si>
    <t xml:space="preserve">
Caution: Using CO2 as feedstock for chemicals, materials, and fuels has the advantage of not competing with food production for land area. But the technology is very energy consuming, which may be rather expensive. </t>
  </si>
  <si>
    <t xml:space="preserve">
Warnung: Die Nutzung von CO2 als Ausgangsmaterial für Chemikalien, Materialien und Brennstoffe in so großem Umfang wird einen übermäßigen zusätzlichen Energieaufwand erfordern, was zu hohen Energie- und Materialkosten führt! </t>
  </si>
  <si>
    <t xml:space="preserve">
Warning: Using CO2 to such large extent as feedstock for chemicals, materials, and fuels will require excessive additional energy, leading to high energy and material costs! </t>
  </si>
  <si>
    <t>zusätzlicher Primärenergiekonsum durch CO2-Ökonomie</t>
  </si>
  <si>
    <t>increase primary-energy consumption by CO2 economy</t>
  </si>
  <si>
    <t>reference primary energy without BECCS and CO2-economy</t>
  </si>
  <si>
    <t>Obergrenze des Pro-Kopf-Primärenergiekonsums</t>
  </si>
  <si>
    <t>upper limit of per-capita primary energy demand</t>
  </si>
  <si>
    <t>Obergrenze der Substitutionsrate (rel. zu Referenz)</t>
  </si>
  <si>
    <t>limit max. substitution rate (rel. to reference)</t>
  </si>
  <si>
    <t>ref. to calculate substitution rate: 1 - with 27400 kWh/(cap a), 2 - chosen primary</t>
  </si>
  <si>
    <t>Ref. zur Brechnung Substitutionsrate: 1 - mit 27400 kWh/(cap a), 2 - gewählte Prim. Energ.</t>
  </si>
  <si>
    <t>limit max. substitution rate (without CO2 econ.)</t>
  </si>
  <si>
    <t>Obergrenze der Substitutionsrate (ohne CO2-Ökon.)</t>
  </si>
  <si>
    <t>minimum substitution rate</t>
  </si>
  <si>
    <t>minimale Substitutionsrate</t>
  </si>
  <si>
    <t>chosen as current value</t>
  </si>
  <si>
    <t>obtained from data (BP Statistical Review of World Energy June 2019)</t>
  </si>
  <si>
    <t>chosen</t>
  </si>
  <si>
    <t>evaluated from previous 2 lines</t>
  </si>
  <si>
    <t>Attribution, citation: Balance Based World Scenarios, Andreas Pfennig, University of Liège, Department of Chemical Engineering, https://www.chemeng.uliege.be/Pfennig, www.vision3000.eu</t>
  </si>
  <si>
    <t>In dieser bilanzbasierten Beschreibung einiger wichtiger Zusammenhänge im globalen Maßstab können verschiedene bestimmende Parameter durch Verschieben der Schieberegler oder durch Eingabe von Zahlenwerten in die roten Felder variiert werden. Die Schieberegler variieren die Parameter in vernünftigen Bereichen. Die Ergebnisse für einige Schlüsselgrößen werden direkt numerisch angesezigt und manche in den Grafiken rechts als Funktion der Zeit dargestellt. Dies erlaubt es, Szenarien der Weltentwicklung unter verschiedenen Annahmen zu erkunden. In die roten Felder können die numerischen Werte auch außerhalb dieses Bereichs eingegeben werden. Sobald einige grundlegende Grenzen überschritten werden, werden am unteren Rand der Seite Warnmeldungen und Warnhinweise ausgegeben. Bitte beachten Sie, dass nur solche Warnhinweise gezeigt werden können, die grundlegende Bilanzen und Bewertungen verletzen. Insbesondere ökonomische Randbedingungen können auf dieser Ebene nicht abgebildet werden. Entsprechend muss die ökonomische Machbarkeit jedes Szenarios separat bewertet werden. Durch Variation der Schieberegler soll ein nachhaltiger Zustand der Welt erreicht werden, wobei gleichzeitig sichergestellt wird, dass
- die globale Erderwärmung begrenzt bleibt
- die Kohlendioxidkonzentration auf einer mittleren Zeitskala abnimmt
- ausreichend Nahrung bereitgestellt werden kann
- globale ökologische Ziele realisiert werden.
Die wichtigsten Parameter werden im Folgenden kurz beschrieben. 
Als allgemeine Bemerkung sei erwähnt, dass der Primärenergiebedarf auf der Grundlage des Niveaus der fossilen Ressourcen bewertet wird. So werden Sonnen- und Windenergie unter Anwendung des derzeitigen durchschnittlichen Wirkungsgrades von Kraftwerken von 38% berücksichtigt. Daher wird mit dieser sogenannten Substitutionsmethode (BP-Methode) eine konsistente Berücksichtigung der Primärenergie realisiert. Vergleicht man die Zahlenwerte mit anderen Studien, die möglicherweise die Wirkungsgradmethode anwenden, muss ggf. dieser effektive Wirkungsgrad für die Umrechnung verwendet werden. Es ist auch zu beachten, dass in der Simulation davon ausgegangen wird, dass alle Übergänge mit Ausnahme der Energiewende 30 Jahre nach dem mit einem Schieberegler einstellbaren Startzeitpunkt abgeschlossen sein werden. Eine Änderung dieses Zeitpunktes beeinflusst hauptsächlich das Verhalten während der Übergangsperiode, aber kaum das endgültige Verhalten nach diesem Übergang. Die Prozentzahlen in Bezug auf die Primärenergie werden auf einer Basis ohne Berücksichtigung des zusätzlichen energetischen Aufwands für die CO2-Konvertierung angegeben, der separat betrachtet wird. Es wird angenommen, dass alle CO2-Emissionen, z.B. auch die aus der Zementproduktion, proportional zur Verringerung des Verbrauchs fossiler Brennstoffe reduziert werden.</t>
  </si>
  <si>
    <t>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t>
  </si>
  <si>
    <t>"World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t>
  </si>
  <si>
    <t>Die "Weltbevölkerung" kann mit dem Schieber zwischen niedriger und hoher Variante der UN-Projektionen variiert werden. Die UN-Bevölkerungsvarianten sind kodiert als 1 - niedrig, 2- mittel und 3 - hoch. Zwischenwerte werden linear interpoliert, Werte außerhalb des Bereichs werden linear extrapoliert. 
Da die UN ihre Projektionen zwischen den Aktualisierungen kontinuierlich nach oben korrigiert hat, kann die mittlere Variante als Untergrenze realistischer Szenarien betrachtet werden. Da die Zukunft nicht vorhersehbar ist, also grundsätzlich jede realistische Entwicklung bei der Bewertung möglicher Entwicklungen im Sinne des Vorsorgeprinzips berücksichtigt werden muss, sind für die Bewertung von Maßnahmen zur Lösung der aktuellen großen Herausforderungen der Menschheit besonders die pessimistischen - aber realistischen - Szenarien zu betrachten. So sollte jedes erfolgreiche Szenario die Herausforderungen auch mit der hohen Variante der Bevölkerungsentwicklung lösen. Nur wenn Maßnahmen erlauben, die großen Herausforderungen auch unter diesen Bedingungen zu meistern, kann das Vorsorgeprinzip erfüllt werden.</t>
  </si>
  <si>
    <t>"Upper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t>
  </si>
  <si>
    <t>Die "Obergrenze für Pro-Kopf-Primärenergie-Konsum" definiert, bis zu welcher Höhe der Primärenergie-Bedarf pro Kopf in Zukunft steigen wird. In der Literatur wird vorgeschlagen, dass ein Wert von 27400 kWh pro Kopf und Jahr eine untere Grenze für einen vernünftigen Wert darstellt, der ein angemessenes Leben in einer entwickelten Region ermöglicht (Arto et al., 2016).</t>
  </si>
  <si>
    <t>"Year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t>
  </si>
  <si>
    <t>Das "Jahr, in dem Energiewende, etc. intensiviert wird" definiert, in welchem Jahr der beschleunigte Übergang zu einer nachhaltigen Energiewirtschaft begonnen wird. Wenn man davon ausgeht, dass die Verhandlungen auf globaler Ebene noch einige Jahre dauern werden, bis geeignete Lösungen z.B. für die Berücksichtigung und zum Handel von CO2-Emissionen zwischen den Nationen gefunden werden, sollte dieses Jahr auf ein voraussichtlich vernünftiges Jahr festgelegt werden. Die Etablierung von BEECS, Aufforstung, Umstellung auf bio- oder CO2-basierte Materialien und Kraftstoffe sowie die Umstellung der Ernährungsweise starten im gleichen Jahr und sind nach 30 Jahren beendet. Die Umstellung der Intensität der Landwirtschaft geschiet im Jahr der Umstellung ohne Übergangsphase, da eine Begrenzung der Intensität keine sher hohen Investitionen erfordert, sondern lediglich die Wachstumsgeschwindigkeit der Intensität gegenüber der aktuellen Entwicklung verlangsamt wird. Die Etablierung von DACCS beginnt erst, wenn die Energiewende abgeschlossen ist.</t>
  </si>
  <si>
    <t>"Fraction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t>
  </si>
  <si>
    <t>Der "Anteil CO2-/bio-basierter Kraftstoffe an Primärenergie" ermöglicht die Verwendung von biobasierten oder CO2-basierten Kraftstoffen, die für Flugzeuge und Schiffe voraussichtlich benötigt werden, da wir derzeit keine funktionierenden Alternativen haben. Für diese Nutzung wird ein Minimum von 5% des Primärenergieverbrauchs angenommen. Höhere Anteile würden bedeuten, dass mehr CO2- oder bio-basierte Energieträger genutzt werden, beispielsweise für industrielle Prozesse.</t>
  </si>
  <si>
    <t>Der "Beitrag von DACCS/BECCS zur CO2-Entfernung" ermöglicht es anzugeben, wie viel Kohlendioxid der Atmosphäre aktiv entzogen wird, um den Klimawandel zu begrenzen. BECCS bedeutet Bioenergie mit Kohlenstoffabscheidung und -speicherung, DACCS direkte Kohlenstoffabscheidung und -speicherung in der Luft.Während die Technologien im Prinzip nachweislich funktionieren, ist die Speicherkapazität für CO2 möglicherweise begrenzt. Während die Technologien im Prinzip nachweislich funktionieren, ist die Speicherkapazität für CO2 möglicherweise begrenzt.  Verschiedene Studien gehen von einer Speicherkapazität zwischen 100 und 1000 GtCO2 aus, wobei die prinzipiellen Potenziale deutlich höher liegen.Prinzipiell könnten auch andere Technologien zur Speicherung des Kohlenstoffs eingesetzt werden, die in dieser Einstellung effektiv enthalten sind. Beispiele für eine Alternative sind die Umwandlung von Biomasse mittels hydrothermaler Karbonisierung und das Einbringen des gewonnenen Kohlenstoffs in den Boden wie bei Terra Preta, die intensivere Nutzung von Holz als Baumaterial oder die Substitution von Zement durch Bio-Kunststoffe.  Während die meisten biobasierten Optionen zu Produkten oder Vorteilen führen, die wirtschaftlich vermarktet werden können, aber fruchtbare Landfläche benötigen, erfordern DACC-basierte Technologien wie Power-to-X keine fruchtbare Landfläche, dafür aber große Mengen an erneuerbarer Energie.</t>
  </si>
  <si>
    <t>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t>
  </si>
  <si>
    <t>Anteil von CO2- gegenüber Bio-Ökonomie</t>
  </si>
  <si>
    <t>"Fraction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t>
  </si>
  <si>
    <t>Der "Anteil von CO2- gegenüber Bio-Ökonomie" erlaubt zu definieren, ob in Zukunft Kraftstoffe und Materialien aus Biomasse hergestellt werden, was entsprechend fruchtbares Land erfordert, oder als Alternative aus CO2, was zusätzliche Energie erfordert. Diese zusätzliche Energie sowie die für DACCS wird im Diagramm für den Primärenergiebedarf pro Person durch die orangefarbene Linie dargestellt, während die rote Linie die benötigte Primärenergie ohne diesen zusätzlichen CO2-basierten Bedarf zeigt.</t>
  </si>
  <si>
    <t>"Fraction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t>
  </si>
  <si>
    <t>Die "Wachstumsrate Solar &amp; Wind nach Intensivierung" gibt an, mit welcher Rate der absolute Beitrag von Solar- und Windenergie pro Jahr zunimmt. Gegenwärtig wird weltweit eine Wachstumsrate von etwa 20 % pro Jahr realisiert, was weniger ist als der Höchstwert vor mehr als einem Jahrzehnt, als er 30 % pro Jahr betrug.</t>
  </si>
  <si>
    <t>"Growth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t>
  </si>
  <si>
    <t>Die "Obergrenze der Substitutionsrate" definiert die maximale Rate, mit der nicht-erneuerbare Ressourcen durch Sonnen- und Windenergie ausgedrückt als Prozent vom Primärenergiekonsum ersetzt werden. Die Substitutionsrate definiert also, welcher Prozentsatz des Primärenergiekonsums im jeweiligen Jahr durch zusätzliche Sonnen- und Windenergie ersetzt wird. Die aktuelle Substitutionsrate beträgt 0,45 % pro Jahr. Werte über 4 % pro Jahr sind nicht nachhaltig, da die Erneuerungsrate der Sonnenkollektoren und Windkraftanlagen nach der Energiewende aufgrund ihrer Lebenserwartung von 25 bis 30 Jahren unter diesem Wert liegen wird. Alle Werte beziehen sich auf den Primärenergieverbrauch ohne CO2-Ökonomie. Im Blatt 'intermediates' wird ausgewählt, ob die maximale Substitutionsrate relativ zum aktuellen Primärenergiekonsum ausgewertet wird oder relativ zu einem Referenzfall, bei dem ein maximaler Primärenegiekonsum von 27400 kWh/(cap a) angenommen wird. Diese zweite Option ist lediglich für Forschungszwecke gedacht.</t>
  </si>
  <si>
    <t>"Limit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t>
  </si>
  <si>
    <t>Der  "Anteil tierbasierter Nahrungsmittel" ermöglicht es, Veränderungen in den Ernährungsgewohnheiten zu berücksichtigen. Da heute 80 % der Landfläche zur Nahrungsmittelproduktion für die Erzeugung von Lebensmitteln auf tierischer Basis genutzt werden, die nur 17,5 % der Nahrungsmittelkalorien liefern, kann die für die Produktion von ausreichend Nahrung benötigte Landfläche deutlich reduziert werden. Dieser Wert hat einen Trend, der kontinuierlich in Richtung der aktuellen Werte der westlichen Industrieländer und sogar Chinas mit Werten im Bereich von 25 bis 30 % ansteigt. Knapp die Hälfte der tierischen Kalorien sind Fleisch, der Rest stammt aus Milchprodukten und Eiern. Die Umstellung auf vegetarische Ernährung entspricht daher heute etwa 7,2 % tierischer Herkunft, unabhängig davon, dass vegetarische Landwirtschaft mit den derzeitigen Tierrechten möglicherweise nicht praktikabel ist. Anteile unter diesem Wert implizieren eine weitere Verlagerung hin zu einer veganen Ernährung.</t>
  </si>
  <si>
    <t>"Intensification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t>
  </si>
  <si>
    <t>"Intensivierung Landwirtschaft, 0 % - konst., 100 % - max." erlaubt es, den aktuellen Trend zur weiteren Intensivierung der planzenbasierten Landwirtschaft zu reduzieren, ausgedrückt über die landflächenspezifische Produktivität. Wird der Wert auf 0 % gesetzt, stoppt die Intensivierung bei dem im Übergangsjahr erreichten Wert. Ein Wert von 100 % setzt den aktuellen Trend der kontinuierlichen weiteren Intensivierung fort. Mit diesem Parameter kann auch die erwartete Produktivitätsreduzierung aufgrund des Klimawandels berücksichtigt werden.</t>
  </si>
  <si>
    <t>"Intensification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t>
  </si>
  <si>
    <t>"Intensivierung Tierwirtschaft, 0 % - konst., 100 % - max." ermöglicht es, den aktuellen Trend der weiteren Intensivierung der tierbasierten Landwirtschaft zu reduzieren, der die Weidefläche und die Menge an Futterkalorien beeinflusst, die benötigt werden, um eine Kalorie tierbasierter Lebensmittel zu produzieren. Bei einem Wert von 0 % stoppt die Intensivierung bei dem Wert, der im Jahr des Übergangs erreicht wurde. Bei einem Wert von 100 % wird der aktuelle Trend der kontinuierlichen weiteren Intensivierung fortgesetzt. Wird ein Wert von 100 % gewählt, erreicht die Intensität global etwa den aktuellen europäischen Durchschnitt, was eine global verstärkte Stallhaltung von Tieren bedeutet.</t>
  </si>
  <si>
    <t>"Fraction of cropland with organic farming" allows to account for more sustainable farming, where today the global fraction is around 4 %. Sustainable farming reduces the productivity per land area by roughly 15 %.</t>
  </si>
  <si>
    <t>Der "Flächen-Anteil nachhaltiger Landwirtschaft" ermöglicht eine nachhaltigere Landwirtschaft, deren weltweiter Anteil heute bei rund 4 % liegt. Eine nachhaltige Landwirtschaft reduziert die Produktivität pro Landfläche um etwa 15 %.</t>
  </si>
  <si>
    <t>"Fraction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t>
  </si>
  <si>
    <t>Der "Anteil der Agrarfläche für Aufforstung" erlaubt festzulegen, wie viel landwirtschaftliche Fläche weltweit in Wälder umgewandelt wird, um Kohlendioxid aus der Atmosphäre zu binden. Die entsprechende Kohlenstoffbilanz von neu angepflanzten Wäldern im Vergleich zu Ackerflächen wird dann in den CO2-Bilanzen berücksichtigt. Die Aufnahme wird nur während eines begrenzten Zeitraums berücksichtigt, wobei davon ausgegangen wird, dass nach dieser Zeit des starken Wachstums ein Quasi-Gleichgewicht erreicht wird, in dem die jährliche Aufnahme zumindest deutlich reduziert ist.</t>
  </si>
  <si>
    <t>"Certainty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t>
  </si>
  <si>
    <t>Copyright</t>
  </si>
  <si>
    <t xml:space="preserve">
Achtung: Der zukünftige Anteil tier-basierter Nahrungsmittel liegt unter dem heutigen Wert. Sehr intensive Aufklärungsarbeit und politische Steuerung wird nötig sein, um diesen Wert zu erreichen!</t>
  </si>
  <si>
    <t xml:space="preserve">
Caution: The future fraction of animal-based food lies below current value. Very intense education and strong political measures will be required to reach this value!</t>
  </si>
  <si>
    <t>when after today all anthropogenic CO2 captured</t>
  </si>
  <si>
    <t>Wann ab heute ist anthropogenes CO2 entfernt</t>
  </si>
  <si>
    <t>Temperaturanstieg auf über 4 °C über dem vorindustriellen Niveau, der auch im Jahr 2100 noch ansteigt, die Landwirtschaft ist nicht nachhaltiger als heute, die Nahrungsmittelknappheit ist teilweise ausgeprägter als heute</t>
  </si>
  <si>
    <t>temperature increase above 4 °C above preindustrial, still increasing in 2100, the agriculture is not sustainable, the food shortage is partly more pronounced than today</t>
  </si>
  <si>
    <t>Temperaturanstieg auf 1,75 °C, stabilisiert bis 2100, aber immer noch nicht genug Nahrung für alle, die Landwirtschaft ist nicht nachhaltig</t>
  </si>
  <si>
    <t>temperature increase to 1.75 °C, stabilized by 2100, but still not enough food for everybody, agriculture is not sustainable</t>
  </si>
  <si>
    <t>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t>
  </si>
  <si>
    <t>die Intensivierung der Energiewende begrenzt die Temperatur auf 1,61°C, aber die nachhaltige Landwirtschaft erhöht die Nahrungsmittelknappheit</t>
  </si>
  <si>
    <t>intensifying sustainable energy transition limits temperature to 1.61°C but sustainable farming increases food shortage</t>
  </si>
  <si>
    <t>temperature increase of 1.61°C but not decreasing in 2100, sufficient food for everybody</t>
  </si>
  <si>
    <t>Temperaturanstieg von 1,61 °C, aber nicht abnehmend im Jahr 2100, genügend Nahrung für alle</t>
  </si>
  <si>
    <t>temperature comes to below 1.2° C by 2100, still decreasing, but now food supply is no longer sufficient</t>
  </si>
  <si>
    <t>Die Temperatur liegt bis 2100 unter 1,2 °C und sinkt weiter, aber jetzt reicht das Nahrungsangebot nicht mehr aus.</t>
  </si>
  <si>
    <t>Szenario, bei dem zusätzlich der Anteil der tierischen Nahrung so verringert wird, dass genügend Nahrung für alle verfügbar ist, was bedeutet, dass nur noch ein marginaler Anteil von unter 1 % der Nahrung tierbasiert ist.</t>
  </si>
  <si>
    <t>Scenario where additionally fraction of animal-based food is decreased such that enough food is available for everybody, which means only a marginal fraction of animal-based nutrition below 1 %.</t>
  </si>
  <si>
    <t>Die Temperatur wird kontrolliert, selbst mit veganer Ernährung sind nicht genügend Nahrungsmittel vorhanden, zudem nutzen wir bis zum Ende des Jahrhunderts die verfügbare Fläche vollständig aus, es bleibt also kein Abstand zu den planetaren Grenzen</t>
  </si>
  <si>
    <t>temperature is controlled, but even with vegan nutrition not enough food is available, also we utilize the complete available land area completely, thus, there remains no distance to the planetary boundaries</t>
  </si>
  <si>
    <t>Die Temperatur wird nach wie vor kontrolliert, aber jetzt reicht die Nahrung aus, um alle zu ernähren</t>
  </si>
  <si>
    <t>Die Temperatur ist im Wesentlichen unverändert, aber jetzt reicht die Nahrung wieder nicht aus, um alle zu ernähren</t>
  </si>
  <si>
    <t>Dies ist ein abschließendes Szenario, das uneingeschränkten Wohlstand für alle, eine ausreichende Nahrungsmittelversorgung und genügend Fläche für BECCS oder Alternativen und Aufforstung ermöglicht. Es ist offensichtlich, dass eine Vielzahl von Herausforderungen bewältigt werden müssen, um dieses Szenario zu erreichen, wie es die warnenden Meldungen anzeigen. Das Bevölkerungswachstum muss begrenzt bleiben, z.B. durch verstärkte Entwicklungszusammenarbeit und -partnerschaften. Die Energiewende muss im Vergleich zu heute um einen Faktor 6 intensiviert werden. Energieeinsparungen unterstützen die Erreichung dieses Ziels. Ausreichende Kapazitäten für BECCS und Alternativen müssen technologisch verfügbar sein. Genauso ist die gesellschaftliche Akzeptanz für diese Technologien eine Voraussetzung. Dieses Szenario ist praktisch nur mit veganer Ernährung zu erreichen. Wenn eine dieser Bedingungen nicht erfüllt wird, kann diese nachhaltige Situation nicht erreicht werden. Versuchen Sie alle Parameter zu variieren und einen einfacheren Weg zu finden! Stellen Sie sicher, dass das Szenario auch mit einer Einstellung von mindestens 2,5 für die Weltbevölkerung funktioniert.</t>
  </si>
  <si>
    <t>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t>
  </si>
  <si>
    <t>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t>
  </si>
  <si>
    <t xml:space="preserve">Als Ergebnis: Neben der Intensivierung der Energiewende und den aktiven Bemühungen um eine aktive Rückgewinnung von CO2 aus der Atmosphäre - die nur Kosten ohne vergleichbaren wirtschaftlichen Nutzen verursachen wird - sind im Wesentlichen die Kontrolle des Bevölkerungswachstums und die Umstellung der Ernährungsgewohnheiten erforderlich. Die Ernährungsumstellung könnte dadurch umgangen werden, dass statt BECCS und Aufforstung erneuerbare Energie zur direkten Abtrennung von CO2 aus der Atmosphäre uns Speicherung und zur Erzeugung von Materialien und Kraftstoffen genutzt wird (DACCS, DACCU). Dies führt neben hohen zusätzlichen Kosten zu einer deutlichen Erhöhung der Klimaerwärmung, da der Primärenergiebedarf ganz erheblich ansteigt und die Energiewende dadurch deutlich verlangsamt wird. 
Achtung: Hier wurde das 50 %-Perzentil der Wahrscheinlichkeit verwendet, die angegebene Temperatur zu erreichen. Insbesondere bei Temperaturerhöhungen über dem heutigen Niveau führt die Wahl einer höheren Sicherheit zu höheren Temperaturen. </t>
  </si>
  <si>
    <t>Ausgangssituation: Das heutige Weltklima mit 1,5 °C Erwärmung an Land (IPCC-Bericht "Climate Change and Land") hat Kipppunkte bereits überschritten, da das grönländische und das westantarktische Inlandeis mit zunehmender Geschwindigkeit schmelzen, der Permafrost auftaut wo derzeit ein großer Teil der überschüssigen Wärme von den Ozeanen aufgenommen wird. Wir müssen also das Kohlendioxid in der Atmosphäre sogar unter die heutige Konzentration senken, wenn das Klima stabilisiert werden soll. Derzeit sind weltweit etwa 800 Millionen Menschen unterernährt, das heißt, die derzeitige Nahrungsmittelversorgung ist nicht ausreichend. Leider nimmt die Zahl unterernährter Menschen trotz erheblicher Anstrengungen, diese Zahl zu reduzieren, seit Jahren nicht ab, sondern steigt derzeit sogar jedes Jahr leicht an. Die UN-Bevölkerungsprognosen wurden zwischen den Aktualisierungen immer wieder nach oben korrigiert. Ein weiterer kontinuierlicher Anstieg der Weltbevölkerung kann daher nicht ausgeschlossen werden. Diese Tatsachen prägen die Randbedingungen für die hier dargestellten Bilanzen. Die Umstellung auf erneuerbare Energien muss also voranschreiten, um die CO2-Emissionen auf 0 zu reduzieren. Zusätzlich muss CO2 aktiv aus der Atmosphäre entfernt werden, um das Klima auf einer mittleren Zeitskala zu stabilisieren. Fossile Ressourcen müssen durch erneuerbare Materialien, womöglich Biowerkstoffe und Biokraftstoffe ersetzt werden, was den Druck auf die Landfläche weiter erhöht. Das Nahrungsangebot muss also trotz der zusätzlich zu erbringenden Leistungen der fruchtbaren Böden erhöht werden.</t>
  </si>
  <si>
    <t>Energiewende ist abgeschlossen/DACCS ist etabliert in</t>
  </si>
  <si>
    <t>primary-energy consumption</t>
  </si>
  <si>
    <t>per capita primary-energy consumption</t>
  </si>
  <si>
    <t>year of intensified renewable-energy transition, start BECCS &amp; afforestation</t>
  </si>
  <si>
    <t>year of intensifying renewable-energy transition, etc.</t>
  </si>
  <si>
    <t>zus. Bedarf für CO2-Ökonomie &amp; DACCS</t>
  </si>
  <si>
    <t>add demand CO2 economy &amp; DACCS</t>
  </si>
  <si>
    <t>years</t>
  </si>
  <si>
    <t>never</t>
  </si>
  <si>
    <t>nie</t>
  </si>
  <si>
    <t>€/kWh</t>
  </si>
  <si>
    <t>cost to obtain CO2 for CO2-economy by DACC without DACCS</t>
  </si>
  <si>
    <t>electricity cost for converting CO2 to materials and fuel feedstock</t>
  </si>
  <si>
    <t>trillion €/a</t>
  </si>
  <si>
    <t>Billionen €/a</t>
  </si>
  <si>
    <t>DACC for fuels and materials</t>
  </si>
  <si>
    <t>DACCS</t>
  </si>
  <si>
    <t>DACC für Kraftstoff und Material</t>
  </si>
  <si>
    <t>Wasserstoff für Kraftstoff und Material</t>
  </si>
  <si>
    <t xml:space="preserve">hydrogen for fuels and materials           </t>
  </si>
  <si>
    <t>Gt CO2 / year</t>
  </si>
  <si>
    <t>% / year</t>
  </si>
  <si>
    <t>% / Jahr</t>
  </si>
  <si>
    <t>*</t>
  </si>
  <si>
    <t>kWh pro Kopf &amp; Jahr</t>
  </si>
  <si>
    <t>kWh per capita &amp; year</t>
  </si>
  <si>
    <t>Gt CO2 / Jahr</t>
  </si>
  <si>
    <r>
      <t>Zusatz-Kosten für CO</t>
    </r>
    <r>
      <rPr>
        <vertAlign val="subscript"/>
        <sz val="11"/>
        <color theme="1"/>
        <rFont val="Calibri"/>
        <family val="2"/>
        <scheme val="minor"/>
      </rPr>
      <t>2</t>
    </r>
    <r>
      <rPr>
        <sz val="11"/>
        <color theme="1"/>
        <rFont val="Calibri"/>
        <family val="2"/>
        <scheme val="minor"/>
      </rPr>
      <t>-Ökonomie</t>
    </r>
  </si>
  <si>
    <t>kWh / (cap a)*</t>
  </si>
  <si>
    <t>no CO2-economy established</t>
  </si>
  <si>
    <t>keine CO2-Ökonomie etabliert</t>
  </si>
  <si>
    <r>
      <t>extra costs for CO</t>
    </r>
    <r>
      <rPr>
        <vertAlign val="subscript"/>
        <sz val="11"/>
        <color theme="1"/>
        <rFont val="Calibri"/>
        <family val="2"/>
        <scheme val="minor"/>
      </rPr>
      <t>2</t>
    </r>
    <r>
      <rPr>
        <sz val="11"/>
        <color theme="1"/>
        <rFont val="Calibri"/>
        <family val="2"/>
        <scheme val="minor"/>
      </rPr>
      <t>-economy</t>
    </r>
  </si>
  <si>
    <t>exergy, approximately upper heating value</t>
  </si>
  <si>
    <t xml:space="preserve">rest anthropogenic CO2 in environment 2100 </t>
  </si>
  <si>
    <t>Restmenge anthropogenes CO2 in Umwelt 2100</t>
  </si>
  <si>
    <t>The following yields can be realized on world average and at higherst national productivity of a major producer, neglecting process inefficiencies. Basis is faostat (http://www.fao.org/faostat/en/) values of 2013.</t>
  </si>
  <si>
    <t>Details see also: A. Pfennig: Sustainable Bio‐ or CO2 Economy: Chances, Risks, and Systems Perspective. ChemBioEng Reviews 2019, 6(3), 90-104</t>
  </si>
  <si>
    <t>Check: That the deviations are so small indicates that the evaluations are consistent, meaning that evaluation of the global data and adding up country data gives consistent results</t>
  </si>
  <si>
    <t>https://www.ipcc.ch/report/ar3/wg1/the-carbon-cycle-and-atmospheric-carbon-dioxide/</t>
  </si>
  <si>
    <t>IPCC, Third Assessment Report, WG1, Table 3.2: Estimates of terrestrial carbon stocks and NPP (global aggregated values by biome)</t>
  </si>
  <si>
    <t>area</t>
  </si>
  <si>
    <t>global carbon stocks</t>
  </si>
  <si>
    <t>carbon density</t>
  </si>
  <si>
    <t>NPP</t>
  </si>
  <si>
    <t>total carbon density</t>
  </si>
  <si>
    <t>NPP density</t>
  </si>
  <si>
    <t>total carbon</t>
  </si>
  <si>
    <t>Gha</t>
  </si>
  <si>
    <t>Gt C</t>
  </si>
  <si>
    <t>t C/ha</t>
  </si>
  <si>
    <t>Gt C/a</t>
  </si>
  <si>
    <t>t C/(ha a)</t>
  </si>
  <si>
    <t>WBGU</t>
  </si>
  <si>
    <t>MRS</t>
  </si>
  <si>
    <t>IGBP</t>
  </si>
  <si>
    <t>Atjay</t>
  </si>
  <si>
    <t>MRS+IGBP</t>
  </si>
  <si>
    <t>Ajay/WBGU</t>
  </si>
  <si>
    <t>plants</t>
  </si>
  <si>
    <t>soil</t>
  </si>
  <si>
    <t>total</t>
  </si>
  <si>
    <t>tropical forests</t>
  </si>
  <si>
    <t>forests</t>
  </si>
  <si>
    <t>temperate forests</t>
  </si>
  <si>
    <t>savanna grassland shrubland</t>
  </si>
  <si>
    <t>boreal forests</t>
  </si>
  <si>
    <t>croplands</t>
  </si>
  <si>
    <t>tropical savannas &amp; grassland</t>
  </si>
  <si>
    <t>wetlands</t>
  </si>
  <si>
    <t>temperate grassland &amp; shrublands</t>
  </si>
  <si>
    <t>deserts and semi deserts</t>
  </si>
  <si>
    <t>CO2 sequestered:</t>
  </si>
  <si>
    <t>t CO2s/ha</t>
  </si>
  <si>
    <t>t CO2s/(ha a)</t>
  </si>
  <si>
    <t>tundra</t>
  </si>
  <si>
    <t>ice cover</t>
  </si>
  <si>
    <t>this is actually a conservative choice, because grassland, which will be reduced, is high and cropland, which will be expanding, is low</t>
  </si>
  <si>
    <t>differ by 1 compared to original table presumably due to rounding errors</t>
  </si>
  <si>
    <t>https://doi.org/10.1111/j.1365-2699.2005.01448.x</t>
  </si>
  <si>
    <t>Grace et al. 2006 Productivity and carbon fluxes of tropical savannas</t>
  </si>
  <si>
    <t>total carbon pool</t>
  </si>
  <si>
    <t>total NPP</t>
  </si>
  <si>
    <t>estimated sink</t>
  </si>
  <si>
    <t>average sink per ha</t>
  </si>
  <si>
    <t>biome</t>
  </si>
  <si>
    <t>artic tundra</t>
  </si>
  <si>
    <t>mediterranean shrublands</t>
  </si>
  <si>
    <t>crops</t>
  </si>
  <si>
    <t>tropical savanna and grassland</t>
  </si>
  <si>
    <t>temperate grassland</t>
  </si>
  <si>
    <t>deserts</t>
  </si>
  <si>
    <t>ice</t>
  </si>
  <si>
    <t>C6H10O5/6CO2:</t>
  </si>
  <si>
    <t>6CO2/C6H10O5:</t>
  </si>
  <si>
    <t>organic carbon in forests calculated as CO2</t>
  </si>
  <si>
    <t>organic carbon in savanna, grassland, shrubland calculated as CO2</t>
  </si>
  <si>
    <t>organic carbon in croplands calculated as CO2</t>
  </si>
  <si>
    <t>organic carbon in wetlands, calcuilated as CO2</t>
  </si>
  <si>
    <t>organischer Kohlenstoff in Wäldern, berechnet als CO2</t>
  </si>
  <si>
    <t>organischer Kohlenstoff in Savanne, Grasland, Strauchland berechnet als CO2</t>
  </si>
  <si>
    <t>organischer Kohlenstoff in Ackerland, berechnet als CO2</t>
  </si>
  <si>
    <t>organischer Kohlenstoff in Feuchtgebieten, berechnet als CO2</t>
  </si>
  <si>
    <t>tCO2/ha</t>
  </si>
  <si>
    <t>average of scenarios from http://dx.doi.org/10.1016/j.jenvman.2014.05.017</t>
  </si>
  <si>
    <t>organic carbon additionally in organic farmin as CO2</t>
  </si>
  <si>
    <t>forest area</t>
  </si>
  <si>
    <t>free land</t>
  </si>
  <si>
    <t>fraction of wetland of land for bio-diversity</t>
  </si>
  <si>
    <t>assumed, since wetlands are extremely positive for carbon storage, i.e. against climate change</t>
  </si>
  <si>
    <t>maximum land are for wetlands</t>
  </si>
  <si>
    <t>Anteil der Feuchtgebiete an der Fläche für Biodiversität</t>
  </si>
  <si>
    <t>maximaler Flächenanteil für Feuchtgebiete</t>
  </si>
  <si>
    <t>conservative estimate, since other references find higher values: http://dx.doi.org/10.1016/j.scitotenv.2017.02.001</t>
  </si>
  <si>
    <t>sum areas used without forest</t>
  </si>
  <si>
    <t>m1</t>
  </si>
  <si>
    <t>flag test land for afforestation: 0 O.K., 1 not enough</t>
  </si>
  <si>
    <t>total available fertile area</t>
  </si>
  <si>
    <t>total wetland</t>
  </si>
  <si>
    <t>grassland-contribution of free land</t>
  </si>
  <si>
    <t>grassland-contribution for bio-diversity</t>
  </si>
  <si>
    <t>wetland-contribution of land for bio-diversity</t>
  </si>
  <si>
    <t>wetland-contributionof free land</t>
  </si>
  <si>
    <t>total grassland</t>
  </si>
  <si>
    <t>difference 2100-2014:</t>
  </si>
  <si>
    <t>Dauer der Kohlenstoffspeicherung durch Aufforstung und Vernässung</t>
  </si>
  <si>
    <t>duration of carbon storage by afforestation and waterlogging</t>
  </si>
  <si>
    <t>additional annual carbon storage by peatland</t>
  </si>
  <si>
    <t>zusätzliche jährliche Kohlenstoffspeicherung durch Moore</t>
  </si>
  <si>
    <t>effect of all land-use change after 2100</t>
  </si>
  <si>
    <t>Effekt aller Landnutzungsänderungen nach 2100</t>
  </si>
  <si>
    <t>fraction conversion</t>
  </si>
  <si>
    <t xml:space="preserve">time scale </t>
  </si>
  <si>
    <t>added from WBGU, since only differences are finally evaluated here</t>
  </si>
  <si>
    <t>see sheet 'evaluations', the WBGU values are chosen, because they lead to a conservative estimate. The differences shown in that sheet actually show how uncertain these values actually are.</t>
  </si>
  <si>
    <t>CO2 bound in grassland at equilibrium</t>
  </si>
  <si>
    <t>CO2 bound by cropland at equilibrium</t>
  </si>
  <si>
    <t>CO2 bound by forests at equilibrium</t>
  </si>
  <si>
    <t>CO2 bound in wetlands at equilibrium</t>
  </si>
  <si>
    <t>accumulated annual contributions to CO2 bound by all fertile land</t>
  </si>
  <si>
    <t>contribution to CO2 bound by all fertile land by all past years in that year</t>
  </si>
  <si>
    <t>future net CO2 emissions (incl. land-use change)</t>
  </si>
  <si>
    <t>Jahren</t>
  </si>
  <si>
    <t>costs</t>
  </si>
  <si>
    <t>test saving ernergy in OECD countries</t>
  </si>
  <si>
    <t>Test Energiesparen in OECD-Ländern</t>
  </si>
  <si>
    <t>globaler Pro-Kopf-Energiekonsum mit Energiesparen 2021</t>
  </si>
  <si>
    <t>estimated:</t>
  </si>
  <si>
    <t>linear regression of Table 2-2, https://www.ipcc.ch/sr15/chapter/chapter-2/</t>
  </si>
  <si>
    <t>set manually here, if chosen 0, calculation is without saving</t>
  </si>
  <si>
    <t>per-capita enery demand in OECD countires with instantaneozus saving in 2021</t>
  </si>
  <si>
    <t>Pro-Kopf-Energiekonsum in OECD-Ländern mit plötzlichem Energiesparen 2021</t>
  </si>
  <si>
    <t>no saving</t>
  </si>
  <si>
    <t>kein Sparen</t>
  </si>
  <si>
    <t>Achtung: Dieses Szenario liegt außerhalb des Gültigkeitsbereichs dieses Szenarien-Explorers</t>
  </si>
  <si>
    <t>caution: the scenario is beyond validity range of this scenario explorer</t>
  </si>
  <si>
    <t>organischer Kohlenstoff zusätzlich bei nachhaltigem Landbau</t>
  </si>
  <si>
    <t>(after 2017: available) cropland</t>
  </si>
  <si>
    <t>(after 2017: available) permanent meadows and pastures</t>
  </si>
  <si>
    <t>(after 2017: available) forest land</t>
  </si>
  <si>
    <t>increase in equilibrium CO2 to be accounted for with timescale of wetland formation</t>
  </si>
  <si>
    <t>increase in equilibrium CO2 to be accounted for with remaining timescale</t>
  </si>
  <si>
    <t>increaseof equilibrium CO2  to be accounted for with timescale of forest formation</t>
  </si>
  <si>
    <t>Maßnahmen für netto-emittierte 1200 Gt CO2 enden in</t>
  </si>
  <si>
    <t>C-weighted average overall:</t>
  </si>
  <si>
    <t>sum all land-use changes until 2100</t>
  </si>
  <si>
    <t>Summe aller Landnutzungsänderungen bis 2100</t>
  </si>
  <si>
    <t>measures for reaching net emitted 1200 Gt CO2 end in</t>
  </si>
  <si>
    <t>https://doi.org/10.1126/science.1201609</t>
  </si>
  <si>
    <t>Pan et al. 2011 A Large and Persistent Carbon Sink in the World‘s Forests</t>
  </si>
  <si>
    <t>carbon sink 1990-2007</t>
  </si>
  <si>
    <t>sink</t>
  </si>
  <si>
    <t>boreal forst</t>
  </si>
  <si>
    <t>temperate forest</t>
  </si>
  <si>
    <t>tropical intact forest</t>
  </si>
  <si>
    <t>tropical regrowth forest</t>
  </si>
  <si>
    <t>time scale of reforestation with reservoirs from above</t>
  </si>
  <si>
    <t>MRS+IGBP, Grace et al., 2006</t>
  </si>
  <si>
    <t>see sheet 'evaluations', combining storage values of WBGU (IPCC TAR) with reforestation values of Pan et al. (2011)</t>
  </si>
  <si>
    <t>C-weighted average grass&amp;crop</t>
  </si>
  <si>
    <t>already accounted for</t>
  </si>
  <si>
    <t>in CO2 emission data</t>
  </si>
  <si>
    <t>average timescale of uptake of C by grassland &amp; cropland and release by all land</t>
  </si>
  <si>
    <t>mittlere Zeitskala C-Aufnahme von Grass- und Ackerland &amp; -Abgabe aller Flächen</t>
  </si>
  <si>
    <t>average timescale of uptake of carbon by forests</t>
  </si>
  <si>
    <t>mittlere Zeitskala zur Kohlenstoffaufnahme von Wäldern</t>
  </si>
  <si>
    <t>average timescale of uptake of carbon by wetlands</t>
  </si>
  <si>
    <t>mittlere Zeitskala zur Kohlenstoffaufnahme von Mooren und Anmooren</t>
  </si>
  <si>
    <t>caution: field to the left for evaluation of warning</t>
  </si>
  <si>
    <t>the timescale corresponds to that resulting in corresponding simulations, e.g. Sommer Bossio 2014 Dynamics and climate change mitigation potential of soil organic carbon sequestration, http://dx.doi.org/10.1016/j.jenvman.2014.05.017</t>
  </si>
  <si>
    <t>due to lack of comparable data set equal to above. This of course ignores the long-term storage process of peatland, thus describes only the first effects expected when land-area use is changed</t>
  </si>
  <si>
    <t>from https://population.un.org/wpp/Download/Probabilistic/Population/ World Population Prospect 2019</t>
  </si>
  <si>
    <t>energy is evaluated via the substitution or BP method, see BP Statistical Review of World Energy June 2019</t>
  </si>
  <si>
    <t>can be selected here</t>
  </si>
  <si>
    <t>choices that can be made in this sheet</t>
  </si>
  <si>
    <t>evaluated from different sources, ships from https://www.fipi.org.in/Reports/Marpol_2020.pdf, jet fuel from https://knoema.com/data/consumption+jet-fuel, yields above 4 %. Since not all ships are accounted for, the value is rounded up.</t>
  </si>
  <si>
    <t>evaluated from control slider</t>
  </si>
  <si>
    <t>evaluated from control sliders</t>
  </si>
  <si>
    <t>assumed from evaluations of Frenzel, Pfennig, various publications. Here CH2O is assumed as typical relative elemental composition e.g. from sugar or MeOH. If this is converted to e.g. polyethylene, this results in roughly 60 kg/(cap a), which is less than half the plastics consumption in a developed country today. Thus, this value includes significant savings (e.g. by recycling) of plastics - the major product of chemical industry</t>
  </si>
  <si>
    <t>global per-capita energy demand with saving 2021</t>
  </si>
  <si>
    <t>evaluated global value from estimates for 2021</t>
  </si>
  <si>
    <t>evaluated from control slider and values on global warming above</t>
  </si>
  <si>
    <t>evaluated from data http://www.fao.org/faostat/en/#data</t>
  </si>
  <si>
    <t>evaluated from bulk data obtained from http://www.fao.org/faostat/en/#data</t>
  </si>
  <si>
    <t>It is assumed that process energy can be obtained from utilization of plant residues as is typical for the distillation of ethanol from sugarcane in Brazil.</t>
  </si>
  <si>
    <t>see sheet 'evaluations'</t>
  </si>
  <si>
    <t>Average value, estimated from the following 2 sources: E. Malézieux, C. Lesur-Dumoulin, T. Ben-Ari, C. Langlais, D. Makowski, 2018: Yield variability in organic versus conventional systems: a meta-analysis for horticultural systems. PS-8.1-02. In: Book of abstracts of the XV European Society for Agronomy Congress: "Innovative cropping and farming systems for high quality food production systems". Agroscope. Genève: Agroscope, Résumé, p. 52. European Society for Agronomy Congress (ESA 2018). 15, Genève, Suisse, 27 August 2018/31 August 2018. https://agritrop.cirad.fr/588921/ 
K. Mondelaers, J. Aertsens, G. Van Huylenbroeck, 2009: A meta-analysis of the differences in environmental impacts between organic and conventional farming", British Food Journal 111(10) 1098-1119. http://dx.doi.org/10.1108/00070700910992925</t>
  </si>
  <si>
    <t>For all these values on carbon-storage potential, see sheet 'evaluations'</t>
  </si>
  <si>
    <t>AR5, WG1, Chapter 6, Table 6.15: BECCS + BioChar 125+130 PgC after https://www.ipcc.ch/site/assets/uploads/2018/02/WG1AR5_Chapter06_FINAL.pdf</t>
  </si>
  <si>
    <t>fitted to past data</t>
  </si>
  <si>
    <t>additional factor for food supply to be set here, if desired, acting on linear and quadratic term defined above</t>
  </si>
  <si>
    <t>chosen to fit to past data</t>
  </si>
  <si>
    <t>Land-Area Based Carbon Dioxide Storage Potential</t>
  </si>
  <si>
    <t>Minimum Fuels for Ships and Planes</t>
  </si>
  <si>
    <t>https://www.fipi.org.in/Reports/Marpol_2020.pdf</t>
  </si>
  <si>
    <t>mbpd = Mega-barrel per day</t>
  </si>
  <si>
    <t>https://knoema.com/data/consumption+jet-fuel</t>
  </si>
  <si>
    <t>assumed = Mtoe/a</t>
  </si>
  <si>
    <t>primary energy consumption 2019</t>
  </si>
  <si>
    <t>ships 2020</t>
  </si>
  <si>
    <t>planes 2018</t>
  </si>
  <si>
    <t>sheet 'data'</t>
  </si>
  <si>
    <t>fraction</t>
  </si>
  <si>
    <t>rounded fraction</t>
  </si>
  <si>
    <t>DACC Cost</t>
  </si>
  <si>
    <t>Keith, D.W., G. Holmes, D. St. Angelo, K. Heidel. 2018. A Process for Capturing CO2 from the Atmosphere. Joule 2(8):1573-1594. https://doi.org/10.1016/j.joule.2018.05.006</t>
  </si>
  <si>
    <t>scenario</t>
  </si>
  <si>
    <t>gas input</t>
  </si>
  <si>
    <t>total energy</t>
  </si>
  <si>
    <t>O&amp;M</t>
  </si>
  <si>
    <t>fixed</t>
  </si>
  <si>
    <t>elec only</t>
  </si>
  <si>
    <t>GJ/tCO2</t>
  </si>
  <si>
    <t>kWh/tCO2</t>
  </si>
  <si>
    <t>$/tCO2</t>
  </si>
  <si>
    <t>€/tCO2</t>
  </si>
  <si>
    <t>electricity input</t>
  </si>
  <si>
    <t>capital cost</t>
  </si>
  <si>
    <t>$/tCO2 a)</t>
  </si>
  <si>
    <t>levelized cost</t>
  </si>
  <si>
    <t>capital recovery factor CRF</t>
  </si>
  <si>
    <t>B baseline Nth plant, 15 MPa</t>
  </si>
  <si>
    <t>A baseline gas-fired, 15 MPa</t>
  </si>
  <si>
    <t>C gas and electricity input, 15 MPa</t>
  </si>
  <si>
    <t>D gas and electricity input, 0.1 MPa</t>
  </si>
  <si>
    <t>conversion Dollar/Euro</t>
  </si>
  <si>
    <t>€/$</t>
  </si>
  <si>
    <t>capital recovery factor CRF for all</t>
  </si>
  <si>
    <t>electricity costs stabilized</t>
  </si>
  <si>
    <t>not realistic scenario, because of too low pressure for following conversion steps</t>
  </si>
  <si>
    <t>only first plant built</t>
  </si>
  <si>
    <t>average of original study</t>
  </si>
  <si>
    <t>average of realistic cases</t>
  </si>
  <si>
    <t>SolarPower Europe and LUT University. (2020). Renewable Europe – how to make Europe’s energy system climatenNeutral before 2050. www.solarpowereurope. org/100-renewable-europe/</t>
  </si>
  <si>
    <t>electricity costs for unstabilized electricity on 2050 cost level</t>
  </si>
  <si>
    <t>Stromkosten für unstabilisierten Strom auf 2050 Preisniveau</t>
  </si>
  <si>
    <t>data evaluated in detail in the sheet 'evaluations' from Keith, D.W., G. Holmes, D. St. Angelo, K. Heidel. 2018. A Process for Capturing CO2 from the Atmosphere. Joule 2(8):1573-1594. https://doi.org/10.1016/j.joule.2018.05.006</t>
  </si>
  <si>
    <t>future fossile CO2 emissions</t>
  </si>
  <si>
    <t>accumulated fossile CO2 emitted</t>
  </si>
  <si>
    <t>accumulated total CO2 emitted incl. LULUCF</t>
  </si>
  <si>
    <t>net CO2 production incl. LULUCF</t>
  </si>
  <si>
    <t>accumulated CO2 captured by BECCS, DACCS, LULUCF</t>
  </si>
  <si>
    <t xml:space="preserve">additional costs for DACCS compared to biomass utilization </t>
  </si>
  <si>
    <t xml:space="preserve">Mehrkosten DACCS im Vergleich zu Biomassenutzung </t>
  </si>
  <si>
    <t>chosen as maximum historical value</t>
  </si>
  <si>
    <t>chosen, it is assumed that the development takes 50 years, longer than energy and other transitions, because that requires significant structural changes also in countries, in which that may be difficult</t>
  </si>
  <si>
    <t>https://doi.org/10.1016/j.joule.2018.05.006 (Keith et al., 2018) newly evaluated, electricity only, high-pressure variant, see sheet 'evaluations'</t>
  </si>
  <si>
    <t>it is assumed that hydrogen can be produced with unstabilized electricity with PEM cells. Value incl. grid cost for coming decades from: SolarPower Europe and LUT University. (2020). Renewable Europe – how to make Europe’s energy system climate neutral before 2050. www.solarpowereurope. org/100-renewable-europe/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</si>
</sst>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0.000"/>
    <numFmt numFmtId="166" formatCode="0.0"/>
    <numFmt numFmtId="167" formatCode="0.0000E+00"/>
    <numFmt numFmtId="168" formatCode="0.000000"/>
    <numFmt numFmtId="169" formatCode="0.00000"/>
    <numFmt numFmtId="170" formatCode="0.0000000"/>
    <numFmt numFmtId="171" formatCode="0.0%"/>
    <numFmt numFmtId="172" formatCode="0.0000%"/>
    <numFmt numFmtId="173" formatCode="0.0000000000000000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sz val="12"/>
      <color theme="1"/>
      <name val="Calibri"/>
      <family val="2"/>
      <scheme val="minor"/>
    </font>
    <font>
      <b/>
      <sz val="16"/>
      <color theme="1"/>
      <name val="Calibri"/>
      <family val="2"/>
      <scheme val="minor"/>
    </font>
    <font>
      <b/>
      <sz val="9"/>
      <color indexed="81"/>
      <name val="Segoe UI"/>
      <family val="2"/>
    </font>
    <font>
      <sz val="9"/>
      <color indexed="81"/>
      <name val="Segoe UI"/>
      <family val="2"/>
    </font>
    <font>
      <sz val="12"/>
      <color theme="1"/>
      <name val="Calibri"/>
      <family val="2"/>
    </font>
    <font>
      <sz val="12"/>
      <name val="Calibri"/>
      <family val="2"/>
    </font>
    <font>
      <sz val="12"/>
      <color indexed="8"/>
      <name val="Calibri"/>
      <family val="2"/>
    </font>
    <font>
      <b/>
      <sz val="12"/>
      <color indexed="8"/>
      <name val="Calibri"/>
      <family val="2"/>
    </font>
    <font>
      <b/>
      <vertAlign val="subscript"/>
      <sz val="12"/>
      <color indexed="8"/>
      <name val="Calibri"/>
      <family val="2"/>
    </font>
    <font>
      <vertAlign val="subscript"/>
      <sz val="12"/>
      <color indexed="8"/>
      <name val="Calibri"/>
      <family val="2"/>
    </font>
    <font>
      <sz val="12"/>
      <color indexed="14"/>
      <name val="Calibri"/>
      <family val="2"/>
    </font>
    <font>
      <b/>
      <sz val="12"/>
      <color indexed="14"/>
      <name val="Calibri"/>
      <family val="2"/>
    </font>
    <font>
      <sz val="11"/>
      <color theme="1"/>
      <name val="Calibri"/>
      <family val="2"/>
    </font>
    <font>
      <b/>
      <sz val="12"/>
      <color theme="1"/>
      <name val="Calibri"/>
      <family val="2"/>
    </font>
    <font>
      <b/>
      <sz val="12"/>
      <name val="Calibri"/>
      <family val="2"/>
    </font>
    <font>
      <b/>
      <sz val="12"/>
      <color theme="1"/>
      <name val="Calibri"/>
      <family val="2"/>
      <scheme val="minor"/>
    </font>
    <font>
      <sz val="12"/>
      <name val="Calibri"/>
      <family val="2"/>
      <scheme val="minor"/>
    </font>
    <font>
      <sz val="10"/>
      <name val="Arial"/>
      <family val="2"/>
    </font>
    <font>
      <sz val="11"/>
      <color theme="1"/>
      <name val="Symbol"/>
      <family val="1"/>
      <charset val="2"/>
    </font>
    <font>
      <b/>
      <sz val="11"/>
      <color rgb="FFFF0000"/>
      <name val="Calibri"/>
      <family val="2"/>
      <scheme val="minor"/>
    </font>
    <font>
      <b/>
      <sz val="11"/>
      <color rgb="FF0000FF"/>
      <name val="Calibri"/>
      <family val="2"/>
      <scheme val="minor"/>
    </font>
    <font>
      <b/>
      <sz val="11"/>
      <color rgb="FF00B050"/>
      <name val="Calibri"/>
      <family val="2"/>
      <scheme val="minor"/>
    </font>
    <font>
      <b/>
      <sz val="18"/>
      <color theme="1"/>
      <name val="Calibri"/>
      <family val="2"/>
      <scheme val="minor"/>
    </font>
    <font>
      <sz val="14"/>
      <color theme="1"/>
      <name val="Calibri"/>
      <family val="2"/>
      <scheme val="minor"/>
    </font>
    <font>
      <b/>
      <sz val="12"/>
      <color rgb="FFFF0000"/>
      <name val="Calibri"/>
      <family val="2"/>
      <scheme val="minor"/>
    </font>
    <font>
      <b/>
      <sz val="12"/>
      <color rgb="FF0000FF"/>
      <name val="Calibri"/>
      <family val="2"/>
      <scheme val="minor"/>
    </font>
    <font>
      <b/>
      <u/>
      <sz val="11"/>
      <color theme="10"/>
      <name val="Calibri"/>
      <family val="2"/>
      <scheme val="minor"/>
    </font>
    <font>
      <sz val="12"/>
      <color theme="1"/>
      <name val="Symbol"/>
      <family val="1"/>
      <charset val="2"/>
    </font>
    <font>
      <vertAlign val="subscript"/>
      <sz val="11"/>
      <color theme="1"/>
      <name val="Calibri"/>
      <family val="2"/>
      <scheme val="minor"/>
    </font>
    <font>
      <sz val="12"/>
      <color theme="0"/>
      <name val="Calibri"/>
      <family val="2"/>
      <scheme val="minor"/>
    </font>
    <font>
      <sz val="12"/>
      <color theme="2"/>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rgb="FFFFCC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s>
  <borders count="3">
    <border>
      <left/>
      <right/>
      <top/>
      <bottom/>
      <diagonal/>
    </border>
    <border>
      <left/>
      <right/>
      <top/>
      <bottom style="thin">
        <color auto="1"/>
      </bottom>
      <diagonal/>
    </border>
    <border>
      <left/>
      <right/>
      <top style="thin">
        <color theme="1" tint="0.499984740745262"/>
      </top>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7" fillId="0" borderId="0"/>
    <xf numFmtId="0" fontId="24" fillId="0" borderId="0"/>
  </cellStyleXfs>
  <cellXfs count="384">
    <xf numFmtId="0" fontId="0" fillId="0" borderId="0" xfId="0"/>
    <xf numFmtId="0" fontId="3" fillId="0" borderId="0" xfId="0" applyFont="1"/>
    <xf numFmtId="0" fontId="4" fillId="0" borderId="0" xfId="2"/>
    <xf numFmtId="0" fontId="0" fillId="0" borderId="0" xfId="0" applyAlignment="1">
      <alignment wrapText="1"/>
    </xf>
    <xf numFmtId="0" fontId="6" fillId="0" borderId="0" xfId="2" applyFont="1"/>
    <xf numFmtId="0" fontId="7" fillId="0" borderId="0" xfId="0" applyFont="1" applyAlignment="1">
      <alignment wrapText="1"/>
    </xf>
    <xf numFmtId="0" fontId="0" fillId="0" borderId="0" xfId="0" applyFont="1" applyAlignment="1" applyProtection="1">
      <alignment wrapText="1"/>
      <protection locked="0"/>
    </xf>
    <xf numFmtId="0" fontId="0" fillId="0" borderId="0" xfId="0" applyFont="1"/>
    <xf numFmtId="0" fontId="7" fillId="0" borderId="0" xfId="0" applyFont="1" applyAlignment="1" applyProtection="1">
      <alignment vertical="center"/>
    </xf>
    <xf numFmtId="0" fontId="0" fillId="0" borderId="0" xfId="0" applyFont="1" applyAlignment="1" applyProtection="1">
      <alignment vertical="center" wrapText="1"/>
      <protection locked="0"/>
    </xf>
    <xf numFmtId="0" fontId="0" fillId="0" borderId="0" xfId="0" applyFont="1" applyFill="1" applyAlignment="1" applyProtection="1">
      <alignment vertical="center" wrapText="1"/>
      <protection locked="0"/>
    </xf>
    <xf numFmtId="164" fontId="0" fillId="0" borderId="0" xfId="0" applyNumberFormat="1" applyFont="1" applyAlignment="1">
      <alignment wrapText="1"/>
    </xf>
    <xf numFmtId="0" fontId="0" fillId="0" borderId="0" xfId="0" applyFont="1" applyAlignment="1"/>
    <xf numFmtId="0" fontId="0" fillId="0" borderId="0" xfId="0" applyFont="1" applyAlignment="1" applyProtection="1">
      <alignment horizontal="left" wrapText="1"/>
      <protection locked="0"/>
    </xf>
    <xf numFmtId="0" fontId="0" fillId="0" borderId="0" xfId="0" applyFont="1" applyAlignment="1" applyProtection="1">
      <alignment vertical="top" wrapText="1"/>
      <protection locked="0"/>
    </xf>
    <xf numFmtId="0" fontId="0" fillId="0" borderId="0" xfId="0" applyFont="1" applyAlignment="1">
      <alignment wrapText="1"/>
    </xf>
    <xf numFmtId="0" fontId="8" fillId="0" borderId="0" xfId="0" applyFont="1"/>
    <xf numFmtId="2" fontId="0" fillId="0" borderId="0" xfId="0" applyNumberFormat="1" applyFont="1"/>
    <xf numFmtId="0" fontId="0" fillId="2" borderId="0" xfId="0" applyFont="1" applyFill="1"/>
    <xf numFmtId="2" fontId="0" fillId="2" borderId="0" xfId="0" applyNumberFormat="1" applyFont="1" applyFill="1"/>
    <xf numFmtId="164" fontId="0" fillId="0" borderId="0" xfId="0" applyNumberFormat="1" applyFont="1"/>
    <xf numFmtId="0" fontId="0" fillId="0" borderId="0" xfId="0" applyAlignment="1">
      <alignment vertical="center" wrapText="1"/>
    </xf>
    <xf numFmtId="0" fontId="0" fillId="0" borderId="0" xfId="0" applyFont="1" applyFill="1"/>
    <xf numFmtId="1" fontId="0" fillId="0" borderId="0" xfId="0" applyNumberFormat="1"/>
    <xf numFmtId="1" fontId="0" fillId="0" borderId="0" xfId="0" applyNumberFormat="1" applyFont="1"/>
    <xf numFmtId="0" fontId="11" fillId="0" borderId="0" xfId="3" applyFont="1"/>
    <xf numFmtId="2" fontId="11" fillId="0" borderId="0" xfId="3" applyNumberFormat="1" applyFont="1"/>
    <xf numFmtId="166" fontId="12" fillId="0" borderId="0" xfId="3" applyNumberFormat="1" applyFont="1"/>
    <xf numFmtId="166" fontId="11" fillId="0" borderId="0" xfId="3" applyNumberFormat="1" applyFont="1"/>
    <xf numFmtId="0" fontId="13" fillId="0" borderId="0" xfId="3" applyFont="1" applyFill="1"/>
    <xf numFmtId="2" fontId="14" fillId="3" borderId="0" xfId="3" applyNumberFormat="1" applyFont="1" applyFill="1"/>
    <xf numFmtId="2" fontId="13" fillId="3" borderId="0" xfId="3" applyNumberFormat="1" applyFont="1" applyFill="1"/>
    <xf numFmtId="2" fontId="11" fillId="3" borderId="0" xfId="3" applyNumberFormat="1" applyFont="1" applyFill="1"/>
    <xf numFmtId="166" fontId="12" fillId="3" borderId="0" xfId="3" applyNumberFormat="1" applyFont="1" applyFill="1"/>
    <xf numFmtId="166" fontId="13" fillId="3" borderId="0" xfId="3" applyNumberFormat="1" applyFont="1" applyFill="1"/>
    <xf numFmtId="0" fontId="13" fillId="3" borderId="0" xfId="3" applyFont="1" applyFill="1"/>
    <xf numFmtId="0" fontId="13" fillId="0" borderId="0" xfId="3" applyFont="1"/>
    <xf numFmtId="2" fontId="13" fillId="4" borderId="0" xfId="3" applyNumberFormat="1" applyFont="1" applyFill="1"/>
    <xf numFmtId="2" fontId="11" fillId="4" borderId="0" xfId="3" applyNumberFormat="1" applyFont="1" applyFill="1"/>
    <xf numFmtId="166" fontId="12" fillId="4" borderId="0" xfId="3" applyNumberFormat="1" applyFont="1" applyFill="1"/>
    <xf numFmtId="166" fontId="13" fillId="4" borderId="0" xfId="3" applyNumberFormat="1" applyFont="1" applyFill="1"/>
    <xf numFmtId="0" fontId="13" fillId="4" borderId="0" xfId="3" applyFont="1" applyFill="1"/>
    <xf numFmtId="2" fontId="12" fillId="5" borderId="0" xfId="3" applyNumberFormat="1" applyFont="1" applyFill="1" applyAlignment="1"/>
    <xf numFmtId="2" fontId="13" fillId="5" borderId="0" xfId="3" applyNumberFormat="1" applyFont="1" applyFill="1"/>
    <xf numFmtId="2" fontId="11" fillId="5" borderId="0" xfId="3" applyNumberFormat="1" applyFont="1" applyFill="1"/>
    <xf numFmtId="166" fontId="12" fillId="5" borderId="0" xfId="3" applyNumberFormat="1" applyFont="1" applyFill="1"/>
    <xf numFmtId="166" fontId="13" fillId="5" borderId="0" xfId="3" applyNumberFormat="1" applyFont="1" applyFill="1"/>
    <xf numFmtId="0" fontId="13" fillId="5" borderId="0" xfId="3" applyFont="1" applyFill="1"/>
    <xf numFmtId="0" fontId="17" fillId="0" borderId="0" xfId="3" applyFont="1" applyFill="1"/>
    <xf numFmtId="2" fontId="17" fillId="3" borderId="0" xfId="3" applyNumberFormat="1" applyFont="1" applyFill="1" applyBorder="1"/>
    <xf numFmtId="2" fontId="17" fillId="3" borderId="0" xfId="3" applyNumberFormat="1" applyFont="1" applyFill="1"/>
    <xf numFmtId="166" fontId="17" fillId="3" borderId="0" xfId="3" applyNumberFormat="1" applyFont="1" applyFill="1"/>
    <xf numFmtId="0" fontId="17" fillId="3" borderId="0" xfId="3" applyFont="1" applyFill="1"/>
    <xf numFmtId="2" fontId="14" fillId="3" borderId="0" xfId="3" applyNumberFormat="1" applyFont="1" applyFill="1" applyBorder="1"/>
    <xf numFmtId="2" fontId="13" fillId="3" borderId="0" xfId="3" applyNumberFormat="1" applyFont="1" applyFill="1" applyBorder="1"/>
    <xf numFmtId="2" fontId="11" fillId="6" borderId="0" xfId="3" applyNumberFormat="1" applyFont="1" applyFill="1" applyBorder="1"/>
    <xf numFmtId="2" fontId="13" fillId="6" borderId="0" xfId="3" applyNumberFormat="1" applyFont="1" applyFill="1" applyBorder="1"/>
    <xf numFmtId="166" fontId="12" fillId="6" borderId="0" xfId="3" applyNumberFormat="1" applyFont="1" applyFill="1" applyBorder="1"/>
    <xf numFmtId="166" fontId="13" fillId="6" borderId="0" xfId="3" applyNumberFormat="1" applyFont="1" applyFill="1" applyBorder="1"/>
    <xf numFmtId="0" fontId="13" fillId="6" borderId="0" xfId="3" applyFont="1" applyFill="1" applyBorder="1"/>
    <xf numFmtId="2" fontId="12" fillId="7" borderId="0" xfId="3" applyNumberFormat="1" applyFont="1" applyFill="1" applyBorder="1"/>
    <xf numFmtId="2" fontId="13" fillId="8" borderId="0" xfId="3" applyNumberFormat="1" applyFont="1" applyFill="1" applyBorder="1"/>
    <xf numFmtId="2" fontId="13" fillId="8" borderId="0" xfId="3" applyNumberFormat="1" applyFont="1" applyFill="1"/>
    <xf numFmtId="2" fontId="11" fillId="8" borderId="0" xfId="3" applyNumberFormat="1" applyFont="1" applyFill="1"/>
    <xf numFmtId="166" fontId="12" fillId="8" borderId="0" xfId="3" applyNumberFormat="1" applyFont="1" applyFill="1"/>
    <xf numFmtId="166" fontId="13" fillId="8" borderId="0" xfId="3" applyNumberFormat="1" applyFont="1" applyFill="1"/>
    <xf numFmtId="0" fontId="13" fillId="8" borderId="0" xfId="3" applyFont="1" applyFill="1"/>
    <xf numFmtId="2" fontId="19" fillId="9" borderId="0" xfId="1" applyNumberFormat="1" applyFont="1" applyFill="1" applyBorder="1"/>
    <xf numFmtId="2" fontId="13" fillId="6" borderId="0" xfId="3" applyNumberFormat="1" applyFont="1" applyFill="1"/>
    <xf numFmtId="2" fontId="11" fillId="6" borderId="0" xfId="3" applyNumberFormat="1" applyFont="1" applyFill="1"/>
    <xf numFmtId="166" fontId="12" fillId="6" borderId="0" xfId="3" applyNumberFormat="1" applyFont="1" applyFill="1"/>
    <xf numFmtId="166" fontId="13" fillId="6" borderId="0" xfId="3" applyNumberFormat="1" applyFont="1" applyFill="1"/>
    <xf numFmtId="0" fontId="13" fillId="6" borderId="0" xfId="3" applyFont="1" applyFill="1"/>
    <xf numFmtId="2" fontId="12" fillId="10" borderId="0" xfId="3" applyNumberFormat="1" applyFont="1" applyFill="1" applyBorder="1" applyAlignment="1"/>
    <xf numFmtId="2" fontId="14" fillId="10" borderId="0" xfId="3" applyNumberFormat="1" applyFont="1" applyFill="1" applyBorder="1"/>
    <xf numFmtId="2" fontId="20" fillId="10" borderId="0" xfId="3" applyNumberFormat="1" applyFont="1" applyFill="1" applyBorder="1"/>
    <xf numFmtId="166" fontId="21" fillId="10" borderId="0" xfId="3" applyNumberFormat="1" applyFont="1" applyFill="1" applyBorder="1"/>
    <xf numFmtId="166" fontId="14" fillId="10" borderId="0" xfId="3" applyNumberFormat="1" applyFont="1" applyFill="1" applyBorder="1"/>
    <xf numFmtId="0" fontId="14" fillId="10" borderId="0" xfId="3" applyFont="1" applyFill="1" applyBorder="1"/>
    <xf numFmtId="0" fontId="11" fillId="10" borderId="0" xfId="3" applyFont="1" applyFill="1"/>
    <xf numFmtId="2" fontId="12" fillId="11" borderId="0" xfId="3" applyNumberFormat="1" applyFont="1" applyFill="1" applyBorder="1"/>
    <xf numFmtId="2" fontId="13" fillId="11" borderId="0" xfId="3" applyNumberFormat="1" applyFont="1" applyFill="1" applyBorder="1"/>
    <xf numFmtId="2" fontId="14" fillId="11" borderId="0" xfId="3" applyNumberFormat="1" applyFont="1" applyFill="1" applyBorder="1"/>
    <xf numFmtId="2" fontId="20" fillId="11" borderId="0" xfId="3" applyNumberFormat="1" applyFont="1" applyFill="1" applyBorder="1"/>
    <xf numFmtId="166" fontId="21" fillId="11" borderId="0" xfId="3" applyNumberFormat="1" applyFont="1" applyFill="1" applyBorder="1"/>
    <xf numFmtId="166" fontId="14" fillId="11" borderId="0" xfId="3" applyNumberFormat="1" applyFont="1" applyFill="1" applyBorder="1"/>
    <xf numFmtId="0" fontId="14" fillId="11" borderId="0" xfId="3" applyFont="1" applyFill="1" applyBorder="1"/>
    <xf numFmtId="2" fontId="12" fillId="12" borderId="0" xfId="3" applyNumberFormat="1" applyFont="1" applyFill="1" applyBorder="1"/>
    <xf numFmtId="2" fontId="13" fillId="12" borderId="0" xfId="3" applyNumberFormat="1" applyFont="1" applyFill="1" applyBorder="1"/>
    <xf numFmtId="2" fontId="21" fillId="12" borderId="0" xfId="3" applyNumberFormat="1" applyFont="1" applyFill="1" applyBorder="1"/>
    <xf numFmtId="2" fontId="14" fillId="12" borderId="0" xfId="3" applyNumberFormat="1" applyFont="1" applyFill="1" applyBorder="1"/>
    <xf numFmtId="2" fontId="20" fillId="12" borderId="0" xfId="3" applyNumberFormat="1" applyFont="1" applyFill="1" applyBorder="1"/>
    <xf numFmtId="166" fontId="21" fillId="12" borderId="0" xfId="3" applyNumberFormat="1" applyFont="1" applyFill="1" applyBorder="1"/>
    <xf numFmtId="166" fontId="14" fillId="12" borderId="0" xfId="3" applyNumberFormat="1" applyFont="1" applyFill="1" applyBorder="1"/>
    <xf numFmtId="0" fontId="14" fillId="12" borderId="0" xfId="3" applyFont="1" applyFill="1" applyBorder="1"/>
    <xf numFmtId="0" fontId="13" fillId="12" borderId="0" xfId="3" applyFont="1" applyFill="1"/>
    <xf numFmtId="2" fontId="20" fillId="13" borderId="0" xfId="3" applyNumberFormat="1" applyFont="1" applyFill="1" applyAlignment="1">
      <alignment horizontal="left"/>
    </xf>
    <xf numFmtId="166" fontId="12" fillId="13" borderId="0" xfId="3" applyNumberFormat="1" applyFont="1" applyFill="1"/>
    <xf numFmtId="166" fontId="11" fillId="13" borderId="0" xfId="3" applyNumberFormat="1" applyFont="1" applyFill="1"/>
    <xf numFmtId="0" fontId="20" fillId="0" borderId="0" xfId="3" applyFont="1" applyAlignment="1">
      <alignment wrapText="1"/>
    </xf>
    <xf numFmtId="2" fontId="20" fillId="0" borderId="0" xfId="3" applyNumberFormat="1" applyFont="1" applyAlignment="1">
      <alignment wrapText="1"/>
    </xf>
    <xf numFmtId="2" fontId="22" fillId="13" borderId="0" xfId="3" applyNumberFormat="1" applyFont="1" applyFill="1" applyAlignment="1">
      <alignment horizontal="right" wrapText="1"/>
    </xf>
    <xf numFmtId="166" fontId="21" fillId="13" borderId="0" xfId="3" applyNumberFormat="1" applyFont="1" applyFill="1" applyAlignment="1">
      <alignment horizontal="center" wrapText="1"/>
    </xf>
    <xf numFmtId="166" fontId="20" fillId="13" borderId="0" xfId="3" applyNumberFormat="1" applyFont="1" applyFill="1" applyAlignment="1">
      <alignment horizontal="right" wrapText="1"/>
    </xf>
    <xf numFmtId="0" fontId="14" fillId="0" borderId="1" xfId="3" applyFont="1" applyFill="1" applyBorder="1" applyAlignment="1">
      <alignment horizontal="right" wrapText="1"/>
    </xf>
    <xf numFmtId="2" fontId="21" fillId="0" borderId="1" xfId="3" applyNumberFormat="1" applyFont="1" applyFill="1" applyBorder="1" applyAlignment="1">
      <alignment horizontal="right" wrapText="1"/>
    </xf>
    <xf numFmtId="2" fontId="14" fillId="0" borderId="1" xfId="3" applyNumberFormat="1" applyFont="1" applyFill="1" applyBorder="1" applyAlignment="1">
      <alignment horizontal="right" wrapText="1"/>
    </xf>
    <xf numFmtId="2" fontId="20" fillId="0" borderId="1" xfId="3" applyNumberFormat="1" applyFont="1" applyFill="1" applyBorder="1" applyAlignment="1">
      <alignment horizontal="right" wrapText="1"/>
    </xf>
    <xf numFmtId="2" fontId="20" fillId="13" borderId="1" xfId="3" applyNumberFormat="1" applyFont="1" applyFill="1" applyBorder="1" applyAlignment="1">
      <alignment horizontal="right" wrapText="1"/>
    </xf>
    <xf numFmtId="166" fontId="21" fillId="13" borderId="1" xfId="3" applyNumberFormat="1" applyFont="1" applyFill="1" applyBorder="1" applyAlignment="1">
      <alignment horizontal="right" wrapText="1"/>
    </xf>
    <xf numFmtId="166" fontId="20" fillId="13" borderId="1" xfId="3" applyNumberFormat="1" applyFont="1" applyFill="1" applyBorder="1" applyAlignment="1">
      <alignment horizontal="right" wrapText="1"/>
    </xf>
    <xf numFmtId="0" fontId="20" fillId="0" borderId="1" xfId="3" applyFont="1" applyFill="1" applyBorder="1" applyAlignment="1">
      <alignment horizontal="right" wrapText="1"/>
    </xf>
    <xf numFmtId="0" fontId="20" fillId="0" borderId="0" xfId="3" applyFont="1" applyFill="1" applyAlignment="1">
      <alignment horizontal="right" wrapText="1"/>
    </xf>
    <xf numFmtId="0" fontId="11" fillId="0" borderId="0" xfId="3" applyFont="1" applyFill="1" applyBorder="1"/>
    <xf numFmtId="2" fontId="11" fillId="0" borderId="0" xfId="3" applyNumberFormat="1" applyFont="1" applyFill="1" applyBorder="1"/>
    <xf numFmtId="2" fontId="7" fillId="0" borderId="0" xfId="3" applyNumberFormat="1" applyFont="1" applyFill="1"/>
    <xf numFmtId="2" fontId="7" fillId="13" borderId="0" xfId="3" applyNumberFormat="1" applyFill="1"/>
    <xf numFmtId="166" fontId="12" fillId="13" borderId="0" xfId="3" quotePrefix="1" applyNumberFormat="1" applyFont="1" applyFill="1" applyBorder="1"/>
    <xf numFmtId="0" fontId="11" fillId="0" borderId="2" xfId="3" applyFont="1" applyFill="1" applyBorder="1"/>
    <xf numFmtId="0" fontId="11" fillId="0" borderId="0" xfId="3" applyFont="1" applyFill="1"/>
    <xf numFmtId="2" fontId="11" fillId="0" borderId="0" xfId="3" applyNumberFormat="1" applyFont="1" applyFill="1"/>
    <xf numFmtId="2" fontId="13" fillId="0" borderId="0" xfId="3" applyNumberFormat="1" applyFont="1" applyFill="1"/>
    <xf numFmtId="2" fontId="7" fillId="0" borderId="0" xfId="3" applyNumberFormat="1"/>
    <xf numFmtId="2" fontId="23" fillId="0" borderId="0" xfId="3" applyNumberFormat="1" applyFont="1" applyFill="1"/>
    <xf numFmtId="2" fontId="12" fillId="0" borderId="0" xfId="3" applyNumberFormat="1" applyFont="1" applyFill="1"/>
    <xf numFmtId="2" fontId="12" fillId="0" borderId="0" xfId="3" applyNumberFormat="1" applyFont="1" applyFill="1" applyAlignment="1">
      <alignment wrapText="1"/>
    </xf>
    <xf numFmtId="2" fontId="23" fillId="0" borderId="0" xfId="3" applyNumberFormat="1" applyFont="1" applyFill="1" applyAlignment="1">
      <alignment wrapText="1"/>
    </xf>
    <xf numFmtId="166" fontId="7" fillId="13" borderId="0" xfId="3" applyNumberFormat="1" applyFont="1" applyFill="1"/>
    <xf numFmtId="2" fontId="12" fillId="0" borderId="0" xfId="3" applyNumberFormat="1" applyFont="1"/>
    <xf numFmtId="2" fontId="12" fillId="0" borderId="0" xfId="4" applyNumberFormat="1" applyFont="1" applyFill="1"/>
    <xf numFmtId="2" fontId="7" fillId="0" borderId="0" xfId="3" applyNumberFormat="1" applyFill="1"/>
    <xf numFmtId="166" fontId="12" fillId="0" borderId="0" xfId="3" applyNumberFormat="1" applyFont="1" applyFill="1"/>
    <xf numFmtId="166" fontId="11" fillId="0" borderId="0" xfId="3" applyNumberFormat="1" applyFont="1" applyFill="1"/>
    <xf numFmtId="1" fontId="11" fillId="0" borderId="0" xfId="3" applyNumberFormat="1" applyFont="1"/>
    <xf numFmtId="166" fontId="7" fillId="0" borderId="0" xfId="3" applyNumberFormat="1" applyFill="1"/>
    <xf numFmtId="0" fontId="7" fillId="0" borderId="0" xfId="3"/>
    <xf numFmtId="166" fontId="7" fillId="0" borderId="0" xfId="3" applyNumberFormat="1"/>
    <xf numFmtId="166" fontId="7" fillId="0" borderId="0" xfId="3" applyNumberFormat="1" applyFill="1" applyAlignment="1">
      <alignment wrapText="1"/>
    </xf>
    <xf numFmtId="11" fontId="0" fillId="0" borderId="0" xfId="0" applyNumberFormat="1" applyFont="1"/>
    <xf numFmtId="22" fontId="0" fillId="0" borderId="0" xfId="0" applyNumberFormat="1" applyFont="1"/>
    <xf numFmtId="0" fontId="0" fillId="0" borderId="0" xfId="0" applyFont="1" applyAlignment="1" applyProtection="1">
      <protection hidden="1"/>
    </xf>
    <xf numFmtId="1" fontId="0" fillId="2" borderId="0" xfId="0" applyNumberFormat="1" applyFont="1" applyFill="1" applyAlignment="1" applyProtection="1">
      <protection hidden="1"/>
    </xf>
    <xf numFmtId="1" fontId="0" fillId="13" borderId="0" xfId="0" applyNumberFormat="1" applyFont="1" applyFill="1" applyAlignment="1" applyProtection="1">
      <protection hidden="1"/>
    </xf>
    <xf numFmtId="1" fontId="0" fillId="14" borderId="0" xfId="0" applyNumberFormat="1" applyFont="1" applyFill="1" applyAlignment="1" applyProtection="1">
      <protection hidden="1"/>
    </xf>
    <xf numFmtId="0" fontId="0" fillId="2" borderId="0" xfId="0" applyFont="1" applyFill="1" applyAlignment="1" applyProtection="1">
      <protection hidden="1"/>
    </xf>
    <xf numFmtId="0" fontId="0" fillId="13" borderId="0" xfId="0" applyFont="1" applyFill="1" applyAlignment="1" applyProtection="1">
      <protection hidden="1"/>
    </xf>
    <xf numFmtId="0" fontId="0" fillId="15" borderId="0" xfId="0" applyFont="1" applyFill="1" applyAlignment="1" applyProtection="1">
      <protection hidden="1"/>
    </xf>
    <xf numFmtId="0" fontId="0" fillId="14" borderId="0" xfId="0" applyFont="1" applyFill="1" applyAlignment="1" applyProtection="1">
      <protection hidden="1"/>
    </xf>
    <xf numFmtId="164" fontId="0" fillId="13" borderId="0" xfId="0" applyNumberFormat="1" applyFont="1" applyFill="1" applyAlignment="1" applyProtection="1">
      <protection hidden="1"/>
    </xf>
    <xf numFmtId="2" fontId="0" fillId="13" borderId="0" xfId="0" applyNumberFormat="1" applyFont="1" applyFill="1" applyAlignment="1" applyProtection="1">
      <protection hidden="1"/>
    </xf>
    <xf numFmtId="0" fontId="0" fillId="9" borderId="0" xfId="0" applyFont="1" applyFill="1" applyAlignment="1" applyProtection="1">
      <protection hidden="1"/>
    </xf>
    <xf numFmtId="0" fontId="0" fillId="0" borderId="0" xfId="0" applyFont="1" applyFill="1" applyAlignment="1" applyProtection="1">
      <protection hidden="1"/>
    </xf>
    <xf numFmtId="2" fontId="0" fillId="15" borderId="0" xfId="0" applyNumberFormat="1" applyFont="1" applyFill="1" applyAlignment="1" applyProtection="1">
      <protection hidden="1"/>
    </xf>
    <xf numFmtId="164" fontId="0" fillId="15" borderId="0" xfId="0" applyNumberFormat="1" applyFont="1" applyFill="1" applyAlignment="1" applyProtection="1">
      <protection hidden="1"/>
    </xf>
    <xf numFmtId="164" fontId="0" fillId="0" borderId="0" xfId="0" applyNumberFormat="1" applyFont="1" applyAlignment="1" applyProtection="1">
      <protection hidden="1"/>
    </xf>
    <xf numFmtId="1" fontId="0" fillId="0" borderId="0" xfId="0" applyNumberFormat="1" applyFont="1" applyAlignment="1" applyProtection="1">
      <protection hidden="1"/>
    </xf>
    <xf numFmtId="167" fontId="0" fillId="15" borderId="0" xfId="0" applyNumberFormat="1" applyFont="1" applyFill="1" applyAlignment="1" applyProtection="1">
      <protection hidden="1"/>
    </xf>
    <xf numFmtId="2" fontId="0" fillId="2" borderId="0" xfId="0" applyNumberFormat="1" applyFont="1" applyFill="1" applyAlignment="1" applyProtection="1">
      <protection hidden="1"/>
    </xf>
    <xf numFmtId="164" fontId="0" fillId="2" borderId="0" xfId="0" applyNumberFormat="1" applyFont="1" applyFill="1" applyAlignment="1" applyProtection="1">
      <protection hidden="1"/>
    </xf>
    <xf numFmtId="165" fontId="0" fillId="2" borderId="0" xfId="0" applyNumberFormat="1" applyFont="1" applyFill="1" applyAlignment="1" applyProtection="1">
      <protection hidden="1"/>
    </xf>
    <xf numFmtId="168" fontId="0" fillId="2" borderId="0" xfId="0" applyNumberFormat="1" applyFont="1" applyFill="1" applyAlignment="1" applyProtection="1">
      <protection hidden="1"/>
    </xf>
    <xf numFmtId="0" fontId="0" fillId="0" borderId="0" xfId="0" applyFont="1" applyAlignment="1" applyProtection="1">
      <alignment wrapText="1"/>
      <protection hidden="1"/>
    </xf>
    <xf numFmtId="1" fontId="0" fillId="2" borderId="0" xfId="0" applyNumberFormat="1" applyFont="1" applyFill="1" applyAlignment="1" applyProtection="1">
      <alignment wrapText="1"/>
      <protection hidden="1"/>
    </xf>
    <xf numFmtId="1" fontId="0" fillId="15" borderId="0" xfId="0" applyNumberFormat="1" applyFont="1" applyFill="1" applyAlignment="1" applyProtection="1">
      <alignment wrapText="1"/>
      <protection hidden="1"/>
    </xf>
    <xf numFmtId="1" fontId="0" fillId="13" borderId="0" xfId="0" applyNumberFormat="1" applyFont="1" applyFill="1" applyAlignment="1" applyProtection="1">
      <alignment wrapText="1"/>
      <protection hidden="1"/>
    </xf>
    <xf numFmtId="1" fontId="0" fillId="14" borderId="0" xfId="0" applyNumberFormat="1" applyFont="1" applyFill="1" applyAlignment="1" applyProtection="1">
      <alignment wrapText="1"/>
      <protection hidden="1"/>
    </xf>
    <xf numFmtId="0" fontId="0" fillId="2" borderId="0" xfId="0" applyFont="1" applyFill="1" applyAlignment="1" applyProtection="1">
      <alignment wrapText="1"/>
      <protection hidden="1"/>
    </xf>
    <xf numFmtId="0" fontId="0" fillId="16" borderId="0" xfId="0" applyFont="1" applyFill="1" applyAlignment="1" applyProtection="1">
      <alignment wrapText="1"/>
      <protection hidden="1"/>
    </xf>
    <xf numFmtId="0" fontId="0" fillId="13" borderId="0" xfId="0" applyFont="1" applyFill="1" applyAlignment="1" applyProtection="1">
      <alignment wrapText="1"/>
      <protection hidden="1"/>
    </xf>
    <xf numFmtId="0" fontId="0" fillId="15" borderId="0" xfId="0" applyFont="1" applyFill="1" applyAlignment="1" applyProtection="1">
      <alignment wrapText="1"/>
      <protection hidden="1"/>
    </xf>
    <xf numFmtId="0" fontId="0" fillId="14" borderId="0" xfId="0" applyFont="1" applyFill="1" applyAlignment="1" applyProtection="1">
      <alignment wrapText="1"/>
      <protection hidden="1"/>
    </xf>
    <xf numFmtId="164" fontId="0" fillId="13" borderId="0" xfId="0" applyNumberFormat="1" applyFont="1" applyFill="1" applyAlignment="1" applyProtection="1">
      <alignment wrapText="1"/>
      <protection hidden="1"/>
    </xf>
    <xf numFmtId="2" fontId="0" fillId="13" borderId="0" xfId="0" applyNumberFormat="1" applyFont="1" applyFill="1" applyAlignment="1" applyProtection="1">
      <alignment wrapText="1"/>
      <protection hidden="1"/>
    </xf>
    <xf numFmtId="0" fontId="0" fillId="9" borderId="0" xfId="0" applyFont="1" applyFill="1" applyAlignment="1" applyProtection="1">
      <alignment wrapText="1"/>
      <protection hidden="1"/>
    </xf>
    <xf numFmtId="0" fontId="0" fillId="0" borderId="0" xfId="0" applyFont="1" applyFill="1" applyAlignment="1" applyProtection="1">
      <alignment wrapText="1"/>
      <protection hidden="1"/>
    </xf>
    <xf numFmtId="2" fontId="0" fillId="15" borderId="0" xfId="0" applyNumberFormat="1" applyFont="1" applyFill="1" applyAlignment="1" applyProtection="1">
      <alignment wrapText="1"/>
      <protection hidden="1"/>
    </xf>
    <xf numFmtId="164" fontId="0" fillId="15" borderId="0" xfId="0" applyNumberFormat="1" applyFont="1" applyFill="1" applyAlignment="1" applyProtection="1">
      <alignment wrapText="1"/>
      <protection hidden="1"/>
    </xf>
    <xf numFmtId="164" fontId="0" fillId="0" borderId="0" xfId="0" applyNumberFormat="1" applyFont="1" applyAlignment="1" applyProtection="1">
      <alignment wrapText="1"/>
      <protection hidden="1"/>
    </xf>
    <xf numFmtId="1" fontId="0" fillId="0" borderId="0" xfId="0" applyNumberFormat="1" applyFont="1" applyAlignment="1" applyProtection="1">
      <alignment wrapText="1"/>
      <protection hidden="1"/>
    </xf>
    <xf numFmtId="167" fontId="0" fillId="15" borderId="0" xfId="0" applyNumberFormat="1" applyFont="1" applyFill="1" applyAlignment="1" applyProtection="1">
      <alignment wrapText="1"/>
      <protection hidden="1"/>
    </xf>
    <xf numFmtId="2" fontId="0" fillId="2" borderId="0" xfId="0" applyNumberFormat="1" applyFont="1" applyFill="1" applyAlignment="1" applyProtection="1">
      <alignment wrapText="1"/>
      <protection hidden="1"/>
    </xf>
    <xf numFmtId="164" fontId="0" fillId="2" borderId="0" xfId="0" applyNumberFormat="1" applyFont="1" applyFill="1" applyAlignment="1" applyProtection="1">
      <alignment wrapText="1"/>
      <protection hidden="1"/>
    </xf>
    <xf numFmtId="165" fontId="0" fillId="2" borderId="0" xfId="0" applyNumberFormat="1" applyFont="1" applyFill="1" applyAlignment="1" applyProtection="1">
      <alignment wrapText="1"/>
      <protection hidden="1"/>
    </xf>
    <xf numFmtId="168" fontId="0" fillId="2" borderId="0" xfId="0" applyNumberFormat="1" applyFont="1" applyFill="1" applyAlignment="1" applyProtection="1">
      <alignment wrapText="1"/>
      <protection hidden="1"/>
    </xf>
    <xf numFmtId="0" fontId="0" fillId="0" borderId="0" xfId="0" applyFont="1" applyProtection="1">
      <protection hidden="1"/>
    </xf>
    <xf numFmtId="1" fontId="0" fillId="2" borderId="0" xfId="0" applyNumberFormat="1" applyFont="1" applyFill="1" applyProtection="1">
      <protection hidden="1"/>
    </xf>
    <xf numFmtId="1" fontId="0" fillId="13" borderId="0" xfId="0" applyNumberFormat="1" applyFont="1" applyFill="1" applyProtection="1">
      <protection hidden="1"/>
    </xf>
    <xf numFmtId="1" fontId="0" fillId="14" borderId="0" xfId="0" applyNumberFormat="1" applyFont="1" applyFill="1" applyProtection="1">
      <protection hidden="1"/>
    </xf>
    <xf numFmtId="0" fontId="0" fillId="2" borderId="0" xfId="0" applyFont="1" applyFill="1" applyProtection="1">
      <protection hidden="1"/>
    </xf>
    <xf numFmtId="0" fontId="0" fillId="13" borderId="0" xfId="0" applyFont="1" applyFill="1" applyProtection="1">
      <protection hidden="1"/>
    </xf>
    <xf numFmtId="0" fontId="0" fillId="15" borderId="0" xfId="0" applyFont="1" applyFill="1" applyProtection="1">
      <protection hidden="1"/>
    </xf>
    <xf numFmtId="0" fontId="0" fillId="0" borderId="0" xfId="0" quotePrefix="1" applyFont="1" applyProtection="1">
      <protection hidden="1"/>
    </xf>
    <xf numFmtId="0" fontId="0" fillId="14" borderId="0" xfId="0" applyFont="1" applyFill="1" applyProtection="1">
      <protection hidden="1"/>
    </xf>
    <xf numFmtId="0" fontId="0" fillId="2" borderId="0" xfId="0" quotePrefix="1" applyFont="1" applyFill="1" applyProtection="1">
      <protection hidden="1"/>
    </xf>
    <xf numFmtId="0" fontId="0" fillId="13" borderId="0" xfId="0" quotePrefix="1" applyFont="1" applyFill="1" applyProtection="1">
      <protection hidden="1"/>
    </xf>
    <xf numFmtId="164" fontId="0" fillId="13" borderId="0" xfId="0" quotePrefix="1" applyNumberFormat="1" applyFont="1" applyFill="1" applyProtection="1">
      <protection hidden="1"/>
    </xf>
    <xf numFmtId="2" fontId="0" fillId="13" borderId="0" xfId="0" quotePrefix="1" applyNumberFormat="1" applyFont="1" applyFill="1" applyProtection="1">
      <protection hidden="1"/>
    </xf>
    <xf numFmtId="0" fontId="0" fillId="15" borderId="0" xfId="0" quotePrefix="1" applyFont="1" applyFill="1" applyProtection="1">
      <protection hidden="1"/>
    </xf>
    <xf numFmtId="2" fontId="0" fillId="15" borderId="0" xfId="0" applyNumberFormat="1" applyFont="1" applyFill="1" applyProtection="1">
      <protection hidden="1"/>
    </xf>
    <xf numFmtId="164" fontId="0" fillId="15" borderId="0" xfId="0" applyNumberFormat="1" applyFont="1" applyFill="1" applyProtection="1">
      <protection hidden="1"/>
    </xf>
    <xf numFmtId="164" fontId="0" fillId="0" borderId="0" xfId="0" quotePrefix="1" applyNumberFormat="1" applyFont="1" applyProtection="1">
      <protection hidden="1"/>
    </xf>
    <xf numFmtId="167" fontId="0" fillId="15" borderId="0" xfId="0" applyNumberFormat="1" applyFont="1" applyFill="1" applyProtection="1">
      <protection hidden="1"/>
    </xf>
    <xf numFmtId="164" fontId="0" fillId="13" borderId="0" xfId="0" applyNumberFormat="1" applyFont="1" applyFill="1" applyProtection="1">
      <protection hidden="1"/>
    </xf>
    <xf numFmtId="168" fontId="0" fillId="2" borderId="0" xfId="0" applyNumberFormat="1" applyFont="1" applyFill="1" applyProtection="1">
      <protection hidden="1"/>
    </xf>
    <xf numFmtId="1" fontId="0" fillId="2" borderId="0" xfId="0" quotePrefix="1" applyNumberFormat="1" applyFont="1" applyFill="1" applyProtection="1">
      <protection hidden="1"/>
    </xf>
    <xf numFmtId="2" fontId="0" fillId="13" borderId="0" xfId="0" applyNumberFormat="1" applyFont="1" applyFill="1" applyProtection="1">
      <protection hidden="1"/>
    </xf>
    <xf numFmtId="1" fontId="4" fillId="2" borderId="0" xfId="2" applyNumberFormat="1" applyFill="1" applyProtection="1">
      <protection hidden="1"/>
    </xf>
    <xf numFmtId="1" fontId="0" fillId="0" borderId="0" xfId="0" applyNumberFormat="1" applyFont="1" applyProtection="1">
      <protection hidden="1"/>
    </xf>
    <xf numFmtId="164" fontId="0" fillId="2" borderId="0" xfId="0" applyNumberFormat="1" applyFont="1" applyFill="1" applyProtection="1">
      <protection hidden="1"/>
    </xf>
    <xf numFmtId="164" fontId="0" fillId="0" borderId="0" xfId="0" applyNumberFormat="1" applyFont="1" applyProtection="1">
      <protection hidden="1"/>
    </xf>
    <xf numFmtId="167" fontId="0" fillId="13" borderId="0" xfId="0" applyNumberFormat="1" applyFont="1" applyFill="1" applyProtection="1">
      <protection hidden="1"/>
    </xf>
    <xf numFmtId="0" fontId="0" fillId="0" borderId="0" xfId="0" applyNumberFormat="1" applyFont="1" applyProtection="1">
      <protection hidden="1"/>
    </xf>
    <xf numFmtId="0" fontId="0" fillId="0" borderId="0" xfId="0" applyFont="1" applyFill="1" applyProtection="1">
      <protection hidden="1"/>
    </xf>
    <xf numFmtId="164" fontId="0" fillId="0" borderId="0" xfId="0" applyNumberFormat="1" applyFont="1" applyFill="1" applyProtection="1">
      <protection hidden="1"/>
    </xf>
    <xf numFmtId="2" fontId="0" fillId="0" borderId="0" xfId="0" applyNumberFormat="1" applyFont="1" applyFill="1" applyProtection="1">
      <protection hidden="1"/>
    </xf>
    <xf numFmtId="2" fontId="0" fillId="0" borderId="0" xfId="0" applyNumberFormat="1" applyFont="1" applyProtection="1">
      <protection hidden="1"/>
    </xf>
    <xf numFmtId="165" fontId="0" fillId="0" borderId="0" xfId="0" applyNumberFormat="1" applyFont="1" applyProtection="1">
      <protection hidden="1"/>
    </xf>
    <xf numFmtId="168" fontId="0" fillId="0" borderId="0" xfId="0" applyNumberFormat="1" applyFont="1" applyFill="1" applyProtection="1">
      <protection hidden="1"/>
    </xf>
    <xf numFmtId="167" fontId="0" fillId="0" borderId="0" xfId="0" applyNumberFormat="1" applyFont="1" applyFill="1" applyProtection="1">
      <protection hidden="1"/>
    </xf>
    <xf numFmtId="1" fontId="0" fillId="0" borderId="0" xfId="0" applyNumberFormat="1" applyFont="1" applyFill="1" applyProtection="1">
      <protection hidden="1"/>
    </xf>
    <xf numFmtId="0" fontId="0" fillId="0" borderId="0" xfId="0" applyProtection="1">
      <protection hidden="1"/>
    </xf>
    <xf numFmtId="167" fontId="0" fillId="0" borderId="0" xfId="0" applyNumberFormat="1" applyFont="1" applyProtection="1">
      <protection hidden="1"/>
    </xf>
    <xf numFmtId="0" fontId="0" fillId="16" borderId="0" xfId="0" applyFont="1" applyFill="1" applyProtection="1">
      <protection hidden="1"/>
    </xf>
    <xf numFmtId="2" fontId="0" fillId="16" borderId="0" xfId="0" applyNumberFormat="1" applyFont="1" applyFill="1" applyProtection="1">
      <protection hidden="1"/>
    </xf>
    <xf numFmtId="168" fontId="0" fillId="16" borderId="0" xfId="0" applyNumberFormat="1" applyFont="1" applyFill="1" applyProtection="1">
      <protection hidden="1"/>
    </xf>
    <xf numFmtId="167" fontId="0" fillId="16" borderId="0" xfId="0" applyNumberFormat="1" applyFont="1" applyFill="1" applyProtection="1">
      <protection hidden="1"/>
    </xf>
    <xf numFmtId="169" fontId="0" fillId="0" borderId="0" xfId="0" applyNumberFormat="1" applyFont="1" applyProtection="1">
      <protection hidden="1"/>
    </xf>
    <xf numFmtId="169" fontId="0" fillId="0" borderId="0" xfId="0" applyNumberFormat="1" applyFont="1" applyFill="1" applyProtection="1">
      <protection hidden="1"/>
    </xf>
    <xf numFmtId="167" fontId="0" fillId="0" borderId="0" xfId="0" applyNumberFormat="1" applyFont="1" applyFill="1" applyAlignment="1" applyProtection="1">
      <alignment wrapText="1"/>
      <protection hidden="1"/>
    </xf>
    <xf numFmtId="0" fontId="0" fillId="9" borderId="0" xfId="0" applyFont="1" applyFill="1" applyProtection="1">
      <protection hidden="1"/>
    </xf>
    <xf numFmtId="0" fontId="2" fillId="0" borderId="0" xfId="0" applyFont="1" applyAlignment="1" applyProtection="1">
      <alignment vertical="top"/>
    </xf>
    <xf numFmtId="0" fontId="0" fillId="13" borderId="0" xfId="0" applyFont="1" applyFill="1" applyAlignment="1"/>
    <xf numFmtId="0" fontId="2" fillId="0" borderId="0" xfId="0" applyFont="1" applyAlignment="1" applyProtection="1"/>
    <xf numFmtId="0" fontId="0" fillId="2" borderId="0" xfId="0" applyFont="1" applyFill="1" applyAlignment="1"/>
    <xf numFmtId="0" fontId="0" fillId="2" borderId="0" xfId="0" quotePrefix="1" applyFont="1" applyFill="1"/>
    <xf numFmtId="0" fontId="0" fillId="13" borderId="0" xfId="0" applyFont="1" applyFill="1"/>
    <xf numFmtId="0" fontId="0" fillId="13" borderId="0" xfId="0" quotePrefix="1" applyFont="1" applyFill="1"/>
    <xf numFmtId="0" fontId="2" fillId="0" borderId="0" xfId="0" applyFont="1"/>
    <xf numFmtId="2" fontId="0" fillId="13" borderId="0" xfId="0" applyNumberFormat="1" applyFont="1" applyFill="1"/>
    <xf numFmtId="1" fontId="0" fillId="13" borderId="0" xfId="0" applyNumberFormat="1" applyFont="1" applyFill="1" applyAlignment="1">
      <alignment horizontal="right"/>
    </xf>
    <xf numFmtId="1" fontId="0" fillId="2" borderId="0" xfId="0" applyNumberFormat="1" applyFont="1" applyFill="1"/>
    <xf numFmtId="164" fontId="0" fillId="13" borderId="0" xfId="0" applyNumberFormat="1" applyFont="1" applyFill="1"/>
    <xf numFmtId="10" fontId="0" fillId="13" borderId="0" xfId="1" applyNumberFormat="1" applyFont="1" applyFill="1"/>
    <xf numFmtId="10" fontId="0" fillId="2" borderId="0" xfId="1" applyNumberFormat="1" applyFont="1" applyFill="1"/>
    <xf numFmtId="1" fontId="0" fillId="13" borderId="0" xfId="1" applyNumberFormat="1" applyFont="1" applyFill="1"/>
    <xf numFmtId="0" fontId="0" fillId="0" borderId="0" xfId="0" quotePrefix="1" applyFont="1" applyAlignment="1"/>
    <xf numFmtId="0" fontId="0" fillId="0" borderId="0" xfId="0" quotePrefix="1" applyFont="1"/>
    <xf numFmtId="0" fontId="0" fillId="0" borderId="0" xfId="0" quotePrefix="1" applyFont="1" applyFill="1"/>
    <xf numFmtId="164" fontId="0" fillId="2" borderId="0" xfId="0" applyNumberFormat="1" applyFont="1" applyFill="1"/>
    <xf numFmtId="0" fontId="2" fillId="0" borderId="0" xfId="0" applyFont="1" applyFill="1"/>
    <xf numFmtId="0" fontId="6" fillId="13" borderId="0" xfId="0" applyFont="1" applyFill="1"/>
    <xf numFmtId="170" fontId="6" fillId="13" borderId="0" xfId="0" applyNumberFormat="1" applyFont="1" applyFill="1"/>
    <xf numFmtId="170" fontId="0" fillId="13" borderId="0" xfId="0" applyNumberFormat="1" applyFont="1" applyFill="1"/>
    <xf numFmtId="1" fontId="0" fillId="13" borderId="0" xfId="0" applyNumberFormat="1" applyFont="1" applyFill="1"/>
    <xf numFmtId="165" fontId="0" fillId="13" borderId="0" xfId="0" applyNumberFormat="1" applyFont="1" applyFill="1"/>
    <xf numFmtId="166" fontId="0" fillId="2" borderId="0" xfId="0" applyNumberFormat="1" applyFont="1" applyFill="1"/>
    <xf numFmtId="170" fontId="0" fillId="2" borderId="0" xfId="0" applyNumberFormat="1" applyFont="1" applyFill="1"/>
    <xf numFmtId="170" fontId="0" fillId="0" borderId="0" xfId="0" applyNumberFormat="1" applyFont="1" applyFill="1"/>
    <xf numFmtId="169" fontId="0" fillId="13" borderId="0" xfId="0" applyNumberFormat="1" applyFont="1" applyFill="1"/>
    <xf numFmtId="171" fontId="0" fillId="13" borderId="0" xfId="1" applyNumberFormat="1" applyFont="1" applyFill="1"/>
    <xf numFmtId="171" fontId="0" fillId="2" borderId="0" xfId="1" applyNumberFormat="1" applyFont="1" applyFill="1"/>
    <xf numFmtId="2" fontId="0" fillId="13" borderId="0" xfId="1" applyNumberFormat="1" applyFont="1" applyFill="1"/>
    <xf numFmtId="2" fontId="0" fillId="0" borderId="0" xfId="1" applyNumberFormat="1" applyFont="1" applyFill="1"/>
    <xf numFmtId="164" fontId="0" fillId="0" borderId="0" xfId="0" applyNumberFormat="1" applyFont="1" applyFill="1"/>
    <xf numFmtId="168" fontId="0" fillId="13" borderId="0" xfId="0" applyNumberFormat="1" applyFont="1" applyFill="1"/>
    <xf numFmtId="0" fontId="0" fillId="15" borderId="0" xfId="0" applyFont="1" applyFill="1" applyAlignment="1">
      <alignment horizontal="left"/>
    </xf>
    <xf numFmtId="0" fontId="0" fillId="15" borderId="0" xfId="0" applyFont="1" applyFill="1"/>
    <xf numFmtId="0" fontId="0" fillId="15" borderId="0" xfId="0" applyFont="1" applyFill="1" applyAlignment="1"/>
    <xf numFmtId="0" fontId="3" fillId="0" borderId="0" xfId="0" applyFont="1" applyAlignment="1">
      <alignment vertical="center" wrapText="1"/>
    </xf>
    <xf numFmtId="0" fontId="3" fillId="0" borderId="0" xfId="0" applyFont="1" applyAlignment="1">
      <alignment vertical="center"/>
    </xf>
    <xf numFmtId="0" fontId="0" fillId="0" borderId="0" xfId="0" quotePrefix="1" applyAlignment="1">
      <alignment vertical="center"/>
    </xf>
    <xf numFmtId="0" fontId="25" fillId="0" borderId="0" xfId="0" quotePrefix="1" applyFont="1" applyAlignment="1">
      <alignment vertical="center"/>
    </xf>
    <xf numFmtId="0" fontId="7" fillId="15" borderId="0" xfId="0" applyFont="1" applyFill="1" applyAlignment="1" applyProtection="1">
      <alignment vertical="center"/>
      <protection locked="0"/>
    </xf>
    <xf numFmtId="0" fontId="26" fillId="0" borderId="0" xfId="0" applyFont="1" applyAlignment="1">
      <alignment vertical="center" wrapText="1"/>
    </xf>
    <xf numFmtId="0" fontId="0" fillId="0" borderId="0" xfId="0" applyAlignment="1">
      <alignment vertical="center"/>
    </xf>
    <xf numFmtId="0" fontId="27" fillId="0" borderId="0" xfId="0" applyFont="1" applyAlignment="1">
      <alignment vertical="center" wrapText="1"/>
    </xf>
    <xf numFmtId="0" fontId="0" fillId="0" borderId="0" xfId="0" quotePrefix="1" applyFill="1" applyAlignment="1">
      <alignment vertical="center"/>
    </xf>
    <xf numFmtId="0" fontId="25" fillId="0" borderId="0" xfId="0" quotePrefix="1" applyFont="1" applyFill="1" applyAlignment="1">
      <alignment vertical="center"/>
    </xf>
    <xf numFmtId="0" fontId="7" fillId="0" borderId="0" xfId="0" applyFont="1" applyFill="1" applyAlignment="1" applyProtection="1">
      <alignment vertical="center"/>
      <protection locked="0"/>
    </xf>
    <xf numFmtId="0" fontId="28" fillId="0" borderId="0" xfId="0" applyFont="1" applyAlignment="1">
      <alignment vertical="center" wrapText="1"/>
    </xf>
    <xf numFmtId="0" fontId="0" fillId="0" borderId="0" xfId="0" applyFill="1" applyAlignment="1">
      <alignment vertical="center"/>
    </xf>
    <xf numFmtId="0" fontId="0" fillId="0" borderId="0" xfId="0" applyFill="1" applyAlignment="1">
      <alignment vertical="center" wrapText="1"/>
    </xf>
    <xf numFmtId="0" fontId="8"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wrapText="1"/>
    </xf>
    <xf numFmtId="0" fontId="4" fillId="0" borderId="0" xfId="2" applyAlignment="1" applyProtection="1">
      <alignment horizontal="left" wrapText="1"/>
      <protection locked="0" hidden="1"/>
    </xf>
    <xf numFmtId="0" fontId="29" fillId="0" borderId="0" xfId="0" applyFont="1" applyAlignment="1" applyProtection="1">
      <alignment vertical="center"/>
    </xf>
    <xf numFmtId="0" fontId="7" fillId="0" borderId="0" xfId="0" applyFont="1" applyFill="1" applyAlignment="1" applyProtection="1">
      <alignment vertical="center"/>
    </xf>
    <xf numFmtId="14" fontId="7" fillId="0" borderId="0" xfId="0" applyNumberFormat="1" applyFont="1" applyAlignment="1" applyProtection="1">
      <alignment vertical="center"/>
    </xf>
    <xf numFmtId="0" fontId="22" fillId="0" borderId="0" xfId="0" applyFont="1" applyAlignment="1" applyProtection="1">
      <alignment vertical="center"/>
    </xf>
    <xf numFmtId="2" fontId="7" fillId="0" borderId="0" xfId="0" applyNumberFormat="1" applyFont="1" applyAlignment="1" applyProtection="1">
      <alignment horizontal="right" vertical="center"/>
    </xf>
    <xf numFmtId="0" fontId="7" fillId="0" borderId="0" xfId="0" applyFont="1" applyAlignment="1" applyProtection="1">
      <alignment horizontal="right" vertical="center"/>
    </xf>
    <xf numFmtId="0" fontId="7" fillId="2" borderId="0" xfId="0" applyFont="1" applyFill="1" applyAlignment="1" applyProtection="1">
      <alignment vertical="center"/>
    </xf>
    <xf numFmtId="0" fontId="7" fillId="2" borderId="0" xfId="0" quotePrefix="1" applyFont="1" applyFill="1" applyAlignment="1" applyProtection="1">
      <alignment vertical="center"/>
    </xf>
    <xf numFmtId="0" fontId="30" fillId="0" borderId="0" xfId="0" applyFont="1" applyAlignment="1" applyProtection="1">
      <alignment vertical="center"/>
    </xf>
    <xf numFmtId="0" fontId="7" fillId="13" borderId="0" xfId="0" applyFont="1" applyFill="1" applyAlignment="1" applyProtection="1">
      <alignment vertical="center"/>
    </xf>
    <xf numFmtId="1" fontId="7" fillId="13" borderId="0" xfId="0" applyNumberFormat="1" applyFont="1" applyFill="1" applyAlignment="1" applyProtection="1">
      <alignment vertical="center"/>
    </xf>
    <xf numFmtId="0" fontId="30" fillId="0" borderId="0" xfId="0" applyFont="1" applyFill="1" applyAlignment="1" applyProtection="1">
      <alignment vertical="center"/>
    </xf>
    <xf numFmtId="166" fontId="7" fillId="13" borderId="0" xfId="1" applyNumberFormat="1" applyFont="1" applyFill="1" applyAlignment="1" applyProtection="1">
      <alignment vertical="center"/>
    </xf>
    <xf numFmtId="171" fontId="7" fillId="13" borderId="0" xfId="1" applyNumberFormat="1" applyFont="1" applyFill="1" applyAlignment="1" applyProtection="1">
      <alignment vertical="center"/>
    </xf>
    <xf numFmtId="2" fontId="7" fillId="2" borderId="0" xfId="0" applyNumberFormat="1" applyFont="1" applyFill="1" applyAlignment="1" applyProtection="1">
      <alignment vertical="center"/>
    </xf>
    <xf numFmtId="10" fontId="7" fillId="2" borderId="0" xfId="0" applyNumberFormat="1" applyFont="1" applyFill="1" applyAlignment="1" applyProtection="1">
      <alignment vertical="center"/>
    </xf>
    <xf numFmtId="166" fontId="7" fillId="13" borderId="0" xfId="0" applyNumberFormat="1" applyFont="1" applyFill="1" applyAlignment="1" applyProtection="1">
      <alignment vertical="center"/>
    </xf>
    <xf numFmtId="1" fontId="7" fillId="2" borderId="0" xfId="0" applyNumberFormat="1" applyFont="1" applyFill="1" applyAlignment="1" applyProtection="1">
      <alignment vertical="center"/>
    </xf>
    <xf numFmtId="0" fontId="30" fillId="2" borderId="0" xfId="0" applyFont="1" applyFill="1" applyAlignment="1" applyProtection="1">
      <alignment vertical="center"/>
    </xf>
    <xf numFmtId="0" fontId="7" fillId="13" borderId="0" xfId="0" quotePrefix="1" applyFont="1" applyFill="1" applyAlignment="1" applyProtection="1">
      <alignment vertical="center"/>
    </xf>
    <xf numFmtId="166" fontId="7" fillId="2" borderId="0" xfId="0" applyNumberFormat="1" applyFont="1" applyFill="1" applyAlignment="1" applyProtection="1">
      <alignment vertical="center"/>
    </xf>
    <xf numFmtId="0" fontId="22" fillId="0" borderId="0" xfId="0" applyFont="1" applyFill="1" applyAlignment="1" applyProtection="1">
      <alignment horizontal="left"/>
    </xf>
    <xf numFmtId="0" fontId="7" fillId="13" borderId="0" xfId="0" applyFont="1" applyFill="1" applyAlignment="1" applyProtection="1">
      <alignment horizontal="left"/>
    </xf>
    <xf numFmtId="1" fontId="7" fillId="0" borderId="0" xfId="0" applyNumberFormat="1" applyFont="1" applyFill="1" applyAlignment="1" applyProtection="1">
      <alignment vertical="center"/>
    </xf>
    <xf numFmtId="2" fontId="7" fillId="0" borderId="0" xfId="0" applyNumberFormat="1" applyFont="1" applyAlignment="1" applyProtection="1">
      <alignment vertical="center"/>
    </xf>
    <xf numFmtId="0" fontId="7" fillId="0" borderId="0" xfId="0" applyFont="1" applyAlignment="1" applyProtection="1">
      <alignment vertical="center" wrapText="1"/>
    </xf>
    <xf numFmtId="0" fontId="0" fillId="0" borderId="0" xfId="0" applyFont="1" applyAlignment="1" applyProtection="1">
      <alignment vertical="center"/>
    </xf>
    <xf numFmtId="0" fontId="7" fillId="0" borderId="0" xfId="0" applyFont="1" applyAlignment="1" applyProtection="1">
      <alignment wrapText="1"/>
      <protection locked="0"/>
    </xf>
    <xf numFmtId="0" fontId="7" fillId="0" borderId="0" xfId="0" applyFont="1"/>
    <xf numFmtId="0" fontId="7" fillId="0" borderId="0" xfId="0" applyFont="1" applyAlignment="1"/>
    <xf numFmtId="2" fontId="7" fillId="0" borderId="0" xfId="0" quotePrefix="1" applyNumberFormat="1" applyFont="1" applyFill="1" applyAlignment="1" applyProtection="1">
      <alignment vertical="center"/>
    </xf>
    <xf numFmtId="166" fontId="0" fillId="2" borderId="0" xfId="1" applyNumberFormat="1" applyFont="1" applyFill="1"/>
    <xf numFmtId="0" fontId="0" fillId="14" borderId="0" xfId="0" quotePrefix="1" applyFont="1" applyFill="1" applyProtection="1">
      <protection hidden="1"/>
    </xf>
    <xf numFmtId="1" fontId="2" fillId="0" borderId="0" xfId="0" applyNumberFormat="1" applyFont="1" applyFill="1"/>
    <xf numFmtId="0" fontId="2" fillId="0" borderId="0" xfId="0" quotePrefix="1" applyFont="1" applyFill="1"/>
    <xf numFmtId="0" fontId="33" fillId="0" borderId="0" xfId="2" applyFont="1"/>
    <xf numFmtId="11" fontId="0" fillId="0" borderId="0" xfId="0" applyNumberFormat="1" applyFont="1" applyFill="1" applyProtection="1">
      <protection hidden="1"/>
    </xf>
    <xf numFmtId="1" fontId="7" fillId="2" borderId="0" xfId="1" applyNumberFormat="1" applyFont="1" applyFill="1" applyAlignment="1" applyProtection="1">
      <alignment vertical="center"/>
    </xf>
    <xf numFmtId="171" fontId="7" fillId="2" borderId="0" xfId="1" applyNumberFormat="1" applyFont="1" applyFill="1" applyAlignment="1" applyProtection="1">
      <alignment vertical="center"/>
    </xf>
    <xf numFmtId="2" fontId="0" fillId="2" borderId="0" xfId="1" applyNumberFormat="1" applyFont="1" applyFill="1"/>
    <xf numFmtId="164" fontId="0" fillId="13" borderId="0" xfId="1" applyNumberFormat="1" applyFont="1" applyFill="1"/>
    <xf numFmtId="169" fontId="0" fillId="0" borderId="0" xfId="0" applyNumberFormat="1" applyFont="1"/>
    <xf numFmtId="0" fontId="0" fillId="0" borderId="0" xfId="0" applyFill="1"/>
    <xf numFmtId="2" fontId="0" fillId="9" borderId="0" xfId="0" applyNumberFormat="1" applyFont="1" applyFill="1" applyAlignment="1" applyProtection="1">
      <alignment wrapText="1"/>
      <protection hidden="1"/>
    </xf>
    <xf numFmtId="1" fontId="7" fillId="13" borderId="0" xfId="0" quotePrefix="1" applyNumberFormat="1" applyFont="1" applyFill="1" applyAlignment="1" applyProtection="1">
      <alignment horizontal="right" vertical="center"/>
    </xf>
    <xf numFmtId="2" fontId="0" fillId="15" borderId="0" xfId="0" quotePrefix="1" applyNumberFormat="1" applyFont="1" applyFill="1" applyProtection="1">
      <protection hidden="1"/>
    </xf>
    <xf numFmtId="2" fontId="7" fillId="13" borderId="0" xfId="0" applyNumberFormat="1" applyFont="1" applyFill="1" applyAlignment="1" applyProtection="1">
      <alignment vertical="center"/>
    </xf>
    <xf numFmtId="0" fontId="7" fillId="2" borderId="0" xfId="0" applyFont="1" applyFill="1" applyAlignment="1" applyProtection="1">
      <alignment horizontal="left"/>
    </xf>
    <xf numFmtId="1" fontId="7" fillId="2" borderId="0" xfId="0" quotePrefix="1" applyNumberFormat="1" applyFont="1" applyFill="1" applyAlignment="1" applyProtection="1">
      <alignment horizontal="left" vertical="center"/>
    </xf>
    <xf numFmtId="0" fontId="0" fillId="0" borderId="0" xfId="0" applyFont="1" applyAlignment="1">
      <alignment vertical="center" wrapText="1"/>
    </xf>
    <xf numFmtId="0" fontId="22" fillId="0" borderId="0" xfId="0" applyFont="1" applyAlignment="1">
      <alignment vertical="center"/>
    </xf>
    <xf numFmtId="0" fontId="7" fillId="0" borderId="0" xfId="0" quotePrefix="1" applyFont="1" applyAlignment="1">
      <alignment vertical="center"/>
    </xf>
    <xf numFmtId="0" fontId="34" fillId="0" borderId="0" xfId="0" quotePrefix="1" applyFont="1" applyAlignment="1">
      <alignment vertical="center"/>
    </xf>
    <xf numFmtId="0" fontId="7" fillId="0" borderId="0" xfId="0" applyFont="1" applyAlignment="1">
      <alignment vertical="center"/>
    </xf>
    <xf numFmtId="0" fontId="23" fillId="15" borderId="0" xfId="0" applyFont="1" applyFill="1" applyAlignment="1" applyProtection="1">
      <alignment vertical="center"/>
      <protection locked="0"/>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Alignment="1">
      <alignment vertical="center" wrapText="1"/>
    </xf>
    <xf numFmtId="1" fontId="7" fillId="0" borderId="0" xfId="0" applyNumberFormat="1" applyFont="1" applyAlignment="1" applyProtection="1">
      <alignment vertical="center"/>
    </xf>
    <xf numFmtId="1" fontId="23" fillId="0" borderId="0" xfId="0" applyNumberFormat="1" applyFont="1" applyFill="1" applyAlignment="1" applyProtection="1">
      <alignment vertical="center"/>
    </xf>
    <xf numFmtId="0" fontId="7" fillId="0" borderId="0" xfId="0" applyFont="1" applyAlignment="1" applyProtection="1">
      <alignment horizontal="left" vertical="center"/>
    </xf>
    <xf numFmtId="169" fontId="0" fillId="2" borderId="0" xfId="0" applyNumberFormat="1" applyFont="1" applyFill="1" applyProtection="1">
      <protection hidden="1"/>
    </xf>
    <xf numFmtId="0" fontId="0" fillId="17" borderId="0" xfId="0" applyFill="1"/>
    <xf numFmtId="0" fontId="0" fillId="2" borderId="0" xfId="0" applyFill="1"/>
    <xf numFmtId="2" fontId="0" fillId="0" borderId="0" xfId="0" applyNumberFormat="1"/>
    <xf numFmtId="2" fontId="0" fillId="0" borderId="0" xfId="0" applyNumberFormat="1" applyFill="1"/>
    <xf numFmtId="0" fontId="0" fillId="18" borderId="0" xfId="0" applyFill="1"/>
    <xf numFmtId="0" fontId="0" fillId="15" borderId="0" xfId="0" applyFill="1"/>
    <xf numFmtId="0" fontId="4" fillId="14" borderId="0" xfId="2" applyFill="1"/>
    <xf numFmtId="0" fontId="0" fillId="14" borderId="0" xfId="0" applyFill="1"/>
    <xf numFmtId="2" fontId="0" fillId="2" borderId="0" xfId="0" applyNumberFormat="1" applyFill="1"/>
    <xf numFmtId="0" fontId="4" fillId="0" borderId="0" xfId="2" applyFill="1"/>
    <xf numFmtId="11" fontId="0" fillId="13" borderId="0" xfId="1" applyNumberFormat="1" applyFont="1" applyFill="1"/>
    <xf numFmtId="173" fontId="0" fillId="0" borderId="0" xfId="0" applyNumberFormat="1" applyFont="1" applyFill="1" applyProtection="1">
      <protection hidden="1"/>
    </xf>
    <xf numFmtId="2" fontId="0" fillId="16" borderId="0" xfId="0" applyNumberFormat="1" applyFill="1"/>
    <xf numFmtId="0" fontId="0" fillId="16" borderId="0" xfId="0" applyFill="1"/>
    <xf numFmtId="0" fontId="0" fillId="16" borderId="0" xfId="0" applyFont="1" applyFill="1"/>
    <xf numFmtId="2" fontId="0" fillId="0" borderId="0" xfId="0" applyNumberFormat="1" applyFont="1" applyFill="1"/>
    <xf numFmtId="0" fontId="6" fillId="0" borderId="0" xfId="2" applyFont="1" applyFill="1"/>
    <xf numFmtId="0" fontId="0" fillId="13" borderId="0" xfId="0" applyFill="1"/>
    <xf numFmtId="164" fontId="7" fillId="0" borderId="0" xfId="0" applyNumberFormat="1" applyFont="1" applyFill="1" applyAlignment="1" applyProtection="1">
      <alignment vertical="center"/>
    </xf>
    <xf numFmtId="1" fontId="0" fillId="2" borderId="0" xfId="1" applyNumberFormat="1" applyFont="1" applyFill="1"/>
    <xf numFmtId="1" fontId="0" fillId="15" borderId="0" xfId="0" applyNumberFormat="1" applyFont="1" applyFill="1" applyAlignment="1">
      <alignment horizontal="right"/>
    </xf>
    <xf numFmtId="0" fontId="0" fillId="15" borderId="0" xfId="0" quotePrefix="1" applyFont="1" applyFill="1"/>
    <xf numFmtId="10" fontId="0" fillId="0" borderId="0" xfId="0" applyNumberFormat="1" applyFont="1"/>
    <xf numFmtId="10" fontId="0" fillId="2" borderId="0" xfId="0" applyNumberFormat="1" applyFont="1" applyFill="1"/>
    <xf numFmtId="1" fontId="0" fillId="0" borderId="0" xfId="0" applyNumberFormat="1" applyFont="1" applyFill="1"/>
    <xf numFmtId="14" fontId="0" fillId="0" borderId="0" xfId="0" applyNumberFormat="1" applyFont="1"/>
    <xf numFmtId="169" fontId="0" fillId="2" borderId="0" xfId="0" applyNumberFormat="1" applyFont="1" applyFill="1"/>
    <xf numFmtId="2" fontId="36" fillId="0" borderId="0" xfId="0" applyNumberFormat="1" applyFont="1" applyFill="1" applyAlignment="1" applyProtection="1">
      <alignment vertical="center"/>
    </xf>
    <xf numFmtId="0" fontId="36" fillId="0" borderId="0" xfId="0" applyFont="1" applyFill="1" applyAlignment="1" applyProtection="1">
      <alignment vertical="center"/>
    </xf>
    <xf numFmtId="0" fontId="37" fillId="0" borderId="0" xfId="0" applyFont="1" applyFill="1" applyAlignment="1" applyProtection="1">
      <alignment vertical="center"/>
    </xf>
    <xf numFmtId="1" fontId="37" fillId="0" borderId="0" xfId="0" applyNumberFormat="1" applyFont="1" applyFill="1" applyAlignment="1" applyProtection="1">
      <alignment vertical="center"/>
    </xf>
    <xf numFmtId="1" fontId="37" fillId="0" borderId="0" xfId="0" applyNumberFormat="1" applyFont="1" applyAlignment="1" applyProtection="1">
      <alignment vertical="center"/>
    </xf>
    <xf numFmtId="0" fontId="37" fillId="0" borderId="0" xfId="0" applyFont="1" applyAlignment="1" applyProtection="1">
      <alignment vertical="center"/>
    </xf>
    <xf numFmtId="0" fontId="4" fillId="0" borderId="0" xfId="2" applyFill="1" applyAlignment="1" applyProtection="1">
      <alignment vertical="center"/>
      <protection hidden="1"/>
    </xf>
    <xf numFmtId="0" fontId="31" fillId="0" borderId="0" xfId="0" applyFont="1" applyAlignment="1" applyProtection="1">
      <alignment vertical="top" wrapText="1"/>
    </xf>
    <xf numFmtId="172" fontId="32" fillId="0" borderId="0" xfId="1" applyNumberFormat="1" applyFont="1" applyFill="1" applyAlignment="1" applyProtection="1">
      <alignment vertical="top" wrapText="1"/>
    </xf>
  </cellXfs>
  <cellStyles count="5">
    <cellStyle name="Hyperlink" xfId="2" builtinId="8"/>
    <cellStyle name="Normal" xfId="0" builtinId="0"/>
    <cellStyle name="Normal 2" xfId="4" xr:uid="{00000000-0005-0000-0000-000001000000}"/>
    <cellStyle name="Percent" xfId="1" builtinId="5"/>
    <cellStyle name="Standard 2" xfId="3" xr:uid="{00000000-0005-0000-0000-00000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CC9900"/>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FD181E0-5E2F-11CE-A449-00AA004A803D}" ax:persistence="persistStreamInit" r:id="rId1"/>
</file>

<file path=xl/activeX/activeX10.xml><?xml version="1.0" encoding="utf-8"?>
<ax:ocx xmlns:ax="http://schemas.microsoft.com/office/2006/activeX" xmlns:r="http://schemas.openxmlformats.org/officeDocument/2006/relationships" ax:classid="{DFD181E0-5E2F-11CE-A449-00AA004A803D}" ax:persistence="persistStreamInit" r:id="rId1"/>
</file>

<file path=xl/activeX/activeX11.xml><?xml version="1.0" encoding="utf-8"?>
<ax:ocx xmlns:ax="http://schemas.microsoft.com/office/2006/activeX" xmlns:r="http://schemas.openxmlformats.org/officeDocument/2006/relationships" ax:classid="{DFD181E0-5E2F-11CE-A449-00AA004A803D}" ax:persistence="persistStreamInit" r:id="rId1"/>
</file>

<file path=xl/activeX/activeX12.xml><?xml version="1.0" encoding="utf-8"?>
<ax:ocx xmlns:ax="http://schemas.microsoft.com/office/2006/activeX" xmlns:r="http://schemas.openxmlformats.org/officeDocument/2006/relationships" ax:classid="{DFD181E0-5E2F-11CE-A449-00AA004A803D}" ax:persistence="persistStreamInit" r:id="rId1"/>
</file>

<file path=xl/activeX/activeX13.xml><?xml version="1.0" encoding="utf-8"?>
<ax:ocx xmlns:ax="http://schemas.microsoft.com/office/2006/activeX" xmlns:r="http://schemas.openxmlformats.org/officeDocument/2006/relationships" ax:classid="{DFD181E0-5E2F-11CE-A449-00AA004A803D}" ax:persistence="persistStreamInit" r:id="rId1"/>
</file>

<file path=xl/activeX/activeX14.xml><?xml version="1.0" encoding="utf-8"?>
<ax:ocx xmlns:ax="http://schemas.microsoft.com/office/2006/activeX" xmlns:r="http://schemas.openxmlformats.org/officeDocument/2006/relationships" ax:classid="{DFD181E0-5E2F-11CE-A449-00AA004A803D}" ax:persistence="persistStreamInit" r:id="rId1"/>
</file>

<file path=xl/activeX/activeX15.xml><?xml version="1.0" encoding="utf-8"?>
<ax:ocx xmlns:ax="http://schemas.microsoft.com/office/2006/activeX" xmlns:r="http://schemas.openxmlformats.org/officeDocument/2006/relationships" ax:classid="{DFD181E0-5E2F-11CE-A449-00AA004A803D}" ax:persistence="persistStreamInit" r:id="rId1"/>
</file>

<file path=xl/activeX/activeX2.xml><?xml version="1.0" encoding="utf-8"?>
<ax:ocx xmlns:ax="http://schemas.microsoft.com/office/2006/activeX" xmlns:r="http://schemas.openxmlformats.org/officeDocument/2006/relationships" ax:classid="{DFD181E0-5E2F-11CE-A449-00AA004A803D}" ax:persistence="persistStreamInit" r:id="rId1"/>
</file>

<file path=xl/activeX/activeX3.xml><?xml version="1.0" encoding="utf-8"?>
<ax:ocx xmlns:ax="http://schemas.microsoft.com/office/2006/activeX" xmlns:r="http://schemas.openxmlformats.org/officeDocument/2006/relationships" ax:classid="{DFD181E0-5E2F-11CE-A449-00AA004A803D}" ax:persistence="persistStreamInit" r:id="rId1"/>
</file>

<file path=xl/activeX/activeX4.xml><?xml version="1.0" encoding="utf-8"?>
<ax:ocx xmlns:ax="http://schemas.microsoft.com/office/2006/activeX" xmlns:r="http://schemas.openxmlformats.org/officeDocument/2006/relationships" ax:classid="{DFD181E0-5E2F-11CE-A449-00AA004A803D}" ax:persistence="persistStreamInit" r:id="rId1"/>
</file>

<file path=xl/activeX/activeX5.xml><?xml version="1.0" encoding="utf-8"?>
<ax:ocx xmlns:ax="http://schemas.microsoft.com/office/2006/activeX" xmlns:r="http://schemas.openxmlformats.org/officeDocument/2006/relationships" ax:classid="{DFD181E0-5E2F-11CE-A449-00AA004A803D}" ax:persistence="persistStreamInit" r:id="rId1"/>
</file>

<file path=xl/activeX/activeX6.xml><?xml version="1.0" encoding="utf-8"?>
<ax:ocx xmlns:ax="http://schemas.microsoft.com/office/2006/activeX" xmlns:r="http://schemas.openxmlformats.org/officeDocument/2006/relationships" ax:classid="{DFD181E0-5E2F-11CE-A449-00AA004A803D}" ax:persistence="persistStreamInit" r:id="rId1"/>
</file>

<file path=xl/activeX/activeX7.xml><?xml version="1.0" encoding="utf-8"?>
<ax:ocx xmlns:ax="http://schemas.microsoft.com/office/2006/activeX" xmlns:r="http://schemas.openxmlformats.org/officeDocument/2006/relationships" ax:classid="{DFD181E0-5E2F-11CE-A449-00AA004A803D}" ax:persistence="persistStreamInit" r:id="rId1"/>
</file>

<file path=xl/activeX/activeX8.xml><?xml version="1.0" encoding="utf-8"?>
<ax:ocx xmlns:ax="http://schemas.microsoft.com/office/2006/activeX" xmlns:r="http://schemas.openxmlformats.org/officeDocument/2006/relationships" ax:classid="{DFD181E0-5E2F-11CE-A449-00AA004A803D}" ax:persistence="persistStreamInit" r:id="rId1"/>
</file>

<file path=xl/activeX/activeX9.xml><?xml version="1.0" encoding="utf-8"?>
<ax:ocx xmlns:ax="http://schemas.microsoft.com/office/2006/activeX" xmlns:r="http://schemas.openxmlformats.org/officeDocument/2006/relationships" ax:classid="{DFD181E0-5E2F-11CE-A449-00AA004A803D}"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texts!$A$71</c:f>
          <c:strCache>
            <c:ptCount val="1"/>
            <c:pt idx="0">
              <c:v>primary-energy consumption</c:v>
            </c:pt>
          </c:strCache>
        </c:strRef>
      </c:tx>
      <c:layout>
        <c:manualLayout>
          <c:xMode val="edge"/>
          <c:yMode val="edge"/>
          <c:x val="9.2554725302194357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0579726641312694"/>
          <c:y val="0.13584310997269919"/>
          <c:w val="0.58422139196886103"/>
          <c:h val="0.71748094741169399"/>
        </c:manualLayout>
      </c:layout>
      <c:areaChart>
        <c:grouping val="stacked"/>
        <c:varyColors val="0"/>
        <c:ser>
          <c:idx val="0"/>
          <c:order val="0"/>
          <c:tx>
            <c:strRef>
              <c:f>texts!$A$82</c:f>
              <c:strCache>
                <c:ptCount val="1"/>
                <c:pt idx="0">
                  <c:v>crude oil</c:v>
                </c:pt>
              </c:strCache>
            </c:strRef>
          </c:tx>
          <c:spPr>
            <a:solidFill>
              <a:srgbClr val="FF00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data!$CE$4:$CE$156</c15:sqref>
                  </c15:fullRef>
                </c:ext>
              </c:extLst>
              <c:f>data!$CE$6:$CE$156</c:f>
              <c:numCache>
                <c:formatCode>General</c:formatCode>
                <c:ptCount val="1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1554.2900069520006</c:v>
                </c:pt>
                <c:pt idx="16">
                  <c:v>1673.6686508215223</c:v>
                </c:pt>
                <c:pt idx="17">
                  <c:v>1793.4345704994587</c:v>
                </c:pt>
                <c:pt idx="18">
                  <c:v>1946.9656421823329</c:v>
                </c:pt>
                <c:pt idx="19">
                  <c:v>2110.9738599620027</c:v>
                </c:pt>
                <c:pt idx="20">
                  <c:v>2292.7063070469421</c:v>
                </c:pt>
                <c:pt idx="21">
                  <c:v>2429.0171896242091</c:v>
                </c:pt>
                <c:pt idx="22">
                  <c:v>2615.1743047731638</c:v>
                </c:pt>
                <c:pt idx="23">
                  <c:v>2819.2379779528715</c:v>
                </c:pt>
                <c:pt idx="24">
                  <c:v>2778.4739452037393</c:v>
                </c:pt>
                <c:pt idx="25">
                  <c:v>2750.2634003309513</c:v>
                </c:pt>
                <c:pt idx="26">
                  <c:v>2929.9842652605344</c:v>
                </c:pt>
                <c:pt idx="27">
                  <c:v>3029.8500313531831</c:v>
                </c:pt>
                <c:pt idx="28">
                  <c:v>3134.1724665785505</c:v>
                </c:pt>
                <c:pt idx="29">
                  <c:v>3186.9962976552401</c:v>
                </c:pt>
                <c:pt idx="30">
                  <c:v>3061.4955491424917</c:v>
                </c:pt>
                <c:pt idx="31">
                  <c:v>2950.6058519495291</c:v>
                </c:pt>
                <c:pt idx="32">
                  <c:v>2859.6044246491538</c:v>
                </c:pt>
                <c:pt idx="33">
                  <c:v>2841.4952612419052</c:v>
                </c:pt>
                <c:pt idx="34">
                  <c:v>2907.0156921202029</c:v>
                </c:pt>
                <c:pt idx="35">
                  <c:v>2911.487621061242</c:v>
                </c:pt>
                <c:pt idx="36">
                  <c:v>2999.816066279735</c:v>
                </c:pt>
                <c:pt idx="37">
                  <c:v>3059.5870924794649</c:v>
                </c:pt>
                <c:pt idx="38">
                  <c:v>3161.8026837587272</c:v>
                </c:pt>
                <c:pt idx="39">
                  <c:v>3213.5114817121416</c:v>
                </c:pt>
                <c:pt idx="40">
                  <c:v>3251.2611826428256</c:v>
                </c:pt>
                <c:pt idx="41">
                  <c:v>3251.6416944149782</c:v>
                </c:pt>
                <c:pt idx="42">
                  <c:v>3307.2428525825462</c:v>
                </c:pt>
                <c:pt idx="43">
                  <c:v>3286.6081419911266</c:v>
                </c:pt>
                <c:pt idx="44">
                  <c:v>3359.4283234633931</c:v>
                </c:pt>
                <c:pt idx="45">
                  <c:v>3403.8366230871752</c:v>
                </c:pt>
                <c:pt idx="46">
                  <c:v>3484.1545366030391</c:v>
                </c:pt>
                <c:pt idx="47">
                  <c:v>3574.5424601876543</c:v>
                </c:pt>
                <c:pt idx="48">
                  <c:v>3593.0020550824142</c:v>
                </c:pt>
                <c:pt idx="49">
                  <c:v>3657.1619860303053</c:v>
                </c:pt>
                <c:pt idx="50">
                  <c:v>3702.2857342600037</c:v>
                </c:pt>
                <c:pt idx="51">
                  <c:v>3735.9455169151761</c:v>
                </c:pt>
                <c:pt idx="52">
                  <c:v>3768.3016565292969</c:v>
                </c:pt>
                <c:pt idx="53">
                  <c:v>3853.1497726017251</c:v>
                </c:pt>
                <c:pt idx="54">
                  <c:v>3998.6097353357382</c:v>
                </c:pt>
                <c:pt idx="55">
                  <c:v>4050.998429212043</c:v>
                </c:pt>
                <c:pt idx="56">
                  <c:v>4103.1344039487212</c:v>
                </c:pt>
                <c:pt idx="57">
                  <c:v>4163.9117764177163</c:v>
                </c:pt>
                <c:pt idx="58">
                  <c:v>4142.8526399668344</c:v>
                </c:pt>
                <c:pt idx="59">
                  <c:v>4073.4424498164153</c:v>
                </c:pt>
                <c:pt idx="60">
                  <c:v>4201.9450001766081</c:v>
                </c:pt>
                <c:pt idx="61">
                  <c:v>4245.6559159773142</c:v>
                </c:pt>
                <c:pt idx="62">
                  <c:v>4297.7803150033433</c:v>
                </c:pt>
                <c:pt idx="63">
                  <c:v>4350.3370787178119</c:v>
                </c:pt>
                <c:pt idx="64">
                  <c:v>4385.3418607274525</c:v>
                </c:pt>
                <c:pt idx="65">
                  <c:v>4465.7563561701118</c:v>
                </c:pt>
                <c:pt idx="66">
                  <c:v>4548.2755141129082</c:v>
                </c:pt>
                <c:pt idx="67">
                  <c:v>4607.0043107713418</c:v>
                </c:pt>
                <c:pt idx="68">
                  <c:v>4662.0533781782833</c:v>
                </c:pt>
              </c:numCache>
            </c:numRef>
          </c:val>
          <c:extLst>
            <c:ext xmlns:c16="http://schemas.microsoft.com/office/drawing/2014/chart" uri="{C3380CC4-5D6E-409C-BE32-E72D297353CC}">
              <c16:uniqueId val="{00000000-757E-4E08-9DC1-F81A7753E1DD}"/>
            </c:ext>
          </c:extLst>
        </c:ser>
        <c:ser>
          <c:idx val="1"/>
          <c:order val="1"/>
          <c:tx>
            <c:strRef>
              <c:f>texts!$A$81</c:f>
              <c:strCache>
                <c:ptCount val="1"/>
                <c:pt idx="0">
                  <c:v>natural gas</c:v>
                </c:pt>
              </c:strCache>
            </c:strRef>
          </c:tx>
          <c:spPr>
            <a:solidFill>
              <a:srgbClr val="7030A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data!$CF$4:$CF$156</c15:sqref>
                  </c15:fullRef>
                </c:ext>
              </c:extLst>
              <c:f>data!$CF$6:$CF$156</c:f>
              <c:numCache>
                <c:formatCode>General</c:formatCode>
                <c:ptCount val="151"/>
                <c:pt idx="15">
                  <c:v>542.24725987462534</c:v>
                </c:pt>
                <c:pt idx="16">
                  <c:v>590.85617672250373</c:v>
                </c:pt>
                <c:pt idx="17">
                  <c:v>634.34780897460018</c:v>
                </c:pt>
                <c:pt idx="18">
                  <c:v>691.86712364826622</c:v>
                </c:pt>
                <c:pt idx="19">
                  <c:v>759.71894272949817</c:v>
                </c:pt>
                <c:pt idx="20">
                  <c:v>826.7306352743542</c:v>
                </c:pt>
                <c:pt idx="21">
                  <c:v>884.97539487941071</c:v>
                </c:pt>
                <c:pt idx="22">
                  <c:v>933.94329274061124</c:v>
                </c:pt>
                <c:pt idx="23">
                  <c:v>978.25607792007804</c:v>
                </c:pt>
                <c:pt idx="24">
                  <c:v>1002.2112280460227</c:v>
                </c:pt>
                <c:pt idx="25">
                  <c:v>1002.6701381504682</c:v>
                </c:pt>
                <c:pt idx="26">
                  <c:v>1062.353948815502</c:v>
                </c:pt>
                <c:pt idx="27">
                  <c:v>1097.2695069828283</c:v>
                </c:pt>
                <c:pt idx="28">
                  <c:v>1143.1544734021211</c:v>
                </c:pt>
                <c:pt idx="29">
                  <c:v>1214.0462549172421</c:v>
                </c:pt>
                <c:pt idx="30">
                  <c:v>1224.2021167684356</c:v>
                </c:pt>
                <c:pt idx="31">
                  <c:v>1237.762503039366</c:v>
                </c:pt>
                <c:pt idx="32">
                  <c:v>1244.2380563821637</c:v>
                </c:pt>
                <c:pt idx="33">
                  <c:v>1264.2826636876096</c:v>
                </c:pt>
                <c:pt idx="34">
                  <c:v>1367.3869725274778</c:v>
                </c:pt>
                <c:pt idx="35">
                  <c:v>1398.2073301367082</c:v>
                </c:pt>
                <c:pt idx="36">
                  <c:v>1411.9247004357276</c:v>
                </c:pt>
                <c:pt idx="37">
                  <c:v>1485.9917634422477</c:v>
                </c:pt>
                <c:pt idx="38">
                  <c:v>1555.3803144910173</c:v>
                </c:pt>
                <c:pt idx="39">
                  <c:v>1624.5922005591879</c:v>
                </c:pt>
                <c:pt idx="40">
                  <c:v>1675.4021140921268</c:v>
                </c:pt>
                <c:pt idx="41">
                  <c:v>1717.6691378019366</c:v>
                </c:pt>
                <c:pt idx="42">
                  <c:v>1717.9081732430195</c:v>
                </c:pt>
                <c:pt idx="43">
                  <c:v>1742.90384808622</c:v>
                </c:pt>
                <c:pt idx="44">
                  <c:v>1753.5834381259208</c:v>
                </c:pt>
                <c:pt idx="45">
                  <c:v>1815.0813185952575</c:v>
                </c:pt>
                <c:pt idx="46">
                  <c:v>1905.7929582198713</c:v>
                </c:pt>
                <c:pt idx="47">
                  <c:v>1894.6899897536341</c:v>
                </c:pt>
                <c:pt idx="48">
                  <c:v>1929.3862447944907</c:v>
                </c:pt>
                <c:pt idx="49">
                  <c:v>1984.0016049522869</c:v>
                </c:pt>
                <c:pt idx="50">
                  <c:v>2062.8655153456471</c:v>
                </c:pt>
                <c:pt idx="51">
                  <c:v>2091.6115688575942</c:v>
                </c:pt>
                <c:pt idx="52">
                  <c:v>2153.578013421678</c:v>
                </c:pt>
                <c:pt idx="53">
                  <c:v>2212.8436430261058</c:v>
                </c:pt>
                <c:pt idx="54">
                  <c:v>2297.2848832512309</c:v>
                </c:pt>
                <c:pt idx="55">
                  <c:v>2359.8814491010812</c:v>
                </c:pt>
                <c:pt idx="56">
                  <c:v>2419.3743742326214</c:v>
                </c:pt>
                <c:pt idx="57">
                  <c:v>2518.4490438597541</c:v>
                </c:pt>
                <c:pt idx="58">
                  <c:v>2578.4699868551606</c:v>
                </c:pt>
                <c:pt idx="59">
                  <c:v>2526.0244016285865</c:v>
                </c:pt>
                <c:pt idx="60">
                  <c:v>2714.2731270827999</c:v>
                </c:pt>
                <c:pt idx="61">
                  <c:v>2780.1392190363808</c:v>
                </c:pt>
                <c:pt idx="62">
                  <c:v>2852.5583897390084</c:v>
                </c:pt>
                <c:pt idx="63">
                  <c:v>2897.4677970227722</c:v>
                </c:pt>
                <c:pt idx="64">
                  <c:v>2917.1456792423623</c:v>
                </c:pt>
                <c:pt idx="65">
                  <c:v>2980.6284587466321</c:v>
                </c:pt>
                <c:pt idx="66">
                  <c:v>3052.6117332424992</c:v>
                </c:pt>
                <c:pt idx="67">
                  <c:v>3141.8923499630273</c:v>
                </c:pt>
                <c:pt idx="68">
                  <c:v>3309.4213954098741</c:v>
                </c:pt>
              </c:numCache>
            </c:numRef>
          </c:val>
          <c:extLst>
            <c:ext xmlns:c16="http://schemas.microsoft.com/office/drawing/2014/chart" uri="{C3380CC4-5D6E-409C-BE32-E72D297353CC}">
              <c16:uniqueId val="{00000001-757E-4E08-9DC1-F81A7753E1DD}"/>
            </c:ext>
          </c:extLst>
        </c:ser>
        <c:ser>
          <c:idx val="2"/>
          <c:order val="2"/>
          <c:tx>
            <c:strRef>
              <c:f>texts!$A$80</c:f>
              <c:strCache>
                <c:ptCount val="1"/>
                <c:pt idx="0">
                  <c:v>coal</c:v>
                </c:pt>
              </c:strCache>
            </c:strRef>
          </c:tx>
          <c:spPr>
            <a:solidFill>
              <a:schemeClr val="tx1"/>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data!$CG$4:$CG$156</c15:sqref>
                  </c15:fullRef>
                </c:ext>
              </c:extLst>
              <c:f>data!$CG$6:$CG$156</c:f>
              <c:numCache>
                <c:formatCode>General</c:formatCode>
                <c:ptCount val="151"/>
                <c:pt idx="15">
                  <c:v>1388.8155869816724</c:v>
                </c:pt>
                <c:pt idx="16">
                  <c:v>1404.2966698977702</c:v>
                </c:pt>
                <c:pt idx="17">
                  <c:v>1381.868844961572</c:v>
                </c:pt>
                <c:pt idx="18">
                  <c:v>1402.6296213231383</c:v>
                </c:pt>
                <c:pt idx="19">
                  <c:v>1446.7719713484719</c:v>
                </c:pt>
                <c:pt idx="20">
                  <c:v>1467.3471941146156</c:v>
                </c:pt>
                <c:pt idx="21">
                  <c:v>1459.245332820771</c:v>
                </c:pt>
                <c:pt idx="22">
                  <c:v>1475.6517398173416</c:v>
                </c:pt>
                <c:pt idx="23">
                  <c:v>1519.6125460966664</c:v>
                </c:pt>
                <c:pt idx="24">
                  <c:v>1520.8720809037932</c:v>
                </c:pt>
                <c:pt idx="25">
                  <c:v>1550.4427432264877</c:v>
                </c:pt>
                <c:pt idx="26">
                  <c:v>1606.9139864861713</c:v>
                </c:pt>
                <c:pt idx="27">
                  <c:v>1654.4661627192038</c:v>
                </c:pt>
                <c:pt idx="28">
                  <c:v>1672.9824551938425</c:v>
                </c:pt>
                <c:pt idx="29">
                  <c:v>1750.6027894786318</c:v>
                </c:pt>
                <c:pt idx="30">
                  <c:v>1793.3378629999868</c:v>
                </c:pt>
                <c:pt idx="31">
                  <c:v>1818.4592194840534</c:v>
                </c:pt>
                <c:pt idx="32">
                  <c:v>1838.7119935623959</c:v>
                </c:pt>
                <c:pt idx="33">
                  <c:v>1895.1155809934576</c:v>
                </c:pt>
                <c:pt idx="34">
                  <c:v>1977.4267006870755</c:v>
                </c:pt>
                <c:pt idx="35">
                  <c:v>2055.5737657486193</c:v>
                </c:pt>
                <c:pt idx="36">
                  <c:v>2079.3598747030605</c:v>
                </c:pt>
                <c:pt idx="37">
                  <c:v>2162.0896202582508</c:v>
                </c:pt>
                <c:pt idx="38">
                  <c:v>2226.1371011928863</c:v>
                </c:pt>
                <c:pt idx="39">
                  <c:v>2248.6738325939191</c:v>
                </c:pt>
                <c:pt idx="40">
                  <c:v>2219.9202029577459</c:v>
                </c:pt>
                <c:pt idx="41">
                  <c:v>2195.4613169797999</c:v>
                </c:pt>
                <c:pt idx="42">
                  <c:v>2189.6984530968502</c:v>
                </c:pt>
                <c:pt idx="43">
                  <c:v>2200.0597450773553</c:v>
                </c:pt>
                <c:pt idx="44">
                  <c:v>2211.6528775054935</c:v>
                </c:pt>
                <c:pt idx="45">
                  <c:v>2223.223030696839</c:v>
                </c:pt>
                <c:pt idx="46">
                  <c:v>2279.5711402316674</c:v>
                </c:pt>
                <c:pt idx="47">
                  <c:v>2281.4262168339637</c:v>
                </c:pt>
                <c:pt idx="48">
                  <c:v>2265.0111843061668</c:v>
                </c:pt>
                <c:pt idx="49">
                  <c:v>2280.9177654690088</c:v>
                </c:pt>
                <c:pt idx="50">
                  <c:v>2357.8444148111312</c:v>
                </c:pt>
                <c:pt idx="51">
                  <c:v>2396.9223756166298</c:v>
                </c:pt>
                <c:pt idx="52">
                  <c:v>2489.8492546152484</c:v>
                </c:pt>
                <c:pt idx="53">
                  <c:v>2709.1169005135653</c:v>
                </c:pt>
                <c:pt idx="54">
                  <c:v>2896.5910276988002</c:v>
                </c:pt>
                <c:pt idx="55">
                  <c:v>3108.5515967948031</c:v>
                </c:pt>
                <c:pt idx="56">
                  <c:v>3271.1844674131639</c:v>
                </c:pt>
                <c:pt idx="57">
                  <c:v>3454.2266684588944</c:v>
                </c:pt>
                <c:pt idx="58">
                  <c:v>3503.4087256644298</c:v>
                </c:pt>
                <c:pt idx="59">
                  <c:v>3450.6420159179906</c:v>
                </c:pt>
                <c:pt idx="60">
                  <c:v>3610.0672795758196</c:v>
                </c:pt>
                <c:pt idx="61">
                  <c:v>3782.5120162115604</c:v>
                </c:pt>
                <c:pt idx="62">
                  <c:v>3797.1854676935454</c:v>
                </c:pt>
                <c:pt idx="63">
                  <c:v>3867.0183386436929</c:v>
                </c:pt>
                <c:pt idx="64">
                  <c:v>3864.1897708349611</c:v>
                </c:pt>
                <c:pt idx="65">
                  <c:v>3768.9521242663363</c:v>
                </c:pt>
                <c:pt idx="66">
                  <c:v>3710.0472347998088</c:v>
                </c:pt>
                <c:pt idx="67">
                  <c:v>3718.440181091818</c:v>
                </c:pt>
                <c:pt idx="68">
                  <c:v>3772.0960139666149</c:v>
                </c:pt>
              </c:numCache>
            </c:numRef>
          </c:val>
          <c:extLst>
            <c:ext xmlns:c16="http://schemas.microsoft.com/office/drawing/2014/chart" uri="{C3380CC4-5D6E-409C-BE32-E72D297353CC}">
              <c16:uniqueId val="{00000002-757E-4E08-9DC1-F81A7753E1DD}"/>
            </c:ext>
          </c:extLst>
        </c:ser>
        <c:ser>
          <c:idx val="3"/>
          <c:order val="3"/>
          <c:tx>
            <c:strRef>
              <c:f>texts!$A$79</c:f>
              <c:strCache>
                <c:ptCount val="1"/>
                <c:pt idx="0">
                  <c:v>nuclear</c:v>
                </c:pt>
              </c:strCache>
            </c:strRef>
          </c:tx>
          <c:spPr>
            <a:solidFill>
              <a:srgbClr val="FFC0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data!$CH$4:$CH$156</c15:sqref>
                  </c15:fullRef>
                </c:ext>
              </c:extLst>
              <c:f>data!$CH$6:$CH$156</c:f>
              <c:numCache>
                <c:formatCode>General</c:formatCode>
                <c:ptCount val="151"/>
                <c:pt idx="15">
                  <c:v>5.8349314029291977</c:v>
                </c:pt>
                <c:pt idx="16">
                  <c:v>7.8237477771452744</c:v>
                </c:pt>
                <c:pt idx="17">
                  <c:v>9.5958399782776063</c:v>
                </c:pt>
                <c:pt idx="18">
                  <c:v>11.884668614220097</c:v>
                </c:pt>
                <c:pt idx="19">
                  <c:v>14.354609801759253</c:v>
                </c:pt>
                <c:pt idx="20">
                  <c:v>17.741460769859238</c:v>
                </c:pt>
                <c:pt idx="21">
                  <c:v>24.891326960316174</c:v>
                </c:pt>
                <c:pt idx="22">
                  <c:v>34.144244205572157</c:v>
                </c:pt>
                <c:pt idx="23">
                  <c:v>45.855884225770239</c:v>
                </c:pt>
                <c:pt idx="24">
                  <c:v>59.598106837556131</c:v>
                </c:pt>
                <c:pt idx="25">
                  <c:v>82.44577016646727</c:v>
                </c:pt>
                <c:pt idx="26">
                  <c:v>98.065993071219779</c:v>
                </c:pt>
                <c:pt idx="27">
                  <c:v>121.1525648230414</c:v>
                </c:pt>
                <c:pt idx="28">
                  <c:v>140.13509010987482</c:v>
                </c:pt>
                <c:pt idx="29">
                  <c:v>144.73293879855129</c:v>
                </c:pt>
                <c:pt idx="30">
                  <c:v>160.96164430036981</c:v>
                </c:pt>
                <c:pt idx="31">
                  <c:v>189.15170287702821</c:v>
                </c:pt>
                <c:pt idx="32">
                  <c:v>207.41400680968877</c:v>
                </c:pt>
                <c:pt idx="33">
                  <c:v>232.92725545977936</c:v>
                </c:pt>
                <c:pt idx="34">
                  <c:v>281.55864820421004</c:v>
                </c:pt>
                <c:pt idx="35">
                  <c:v>336.91742806954056</c:v>
                </c:pt>
                <c:pt idx="36">
                  <c:v>360.86129802330902</c:v>
                </c:pt>
                <c:pt idx="37">
                  <c:v>392.53802711489789</c:v>
                </c:pt>
                <c:pt idx="38">
                  <c:v>427.95973645148337</c:v>
                </c:pt>
                <c:pt idx="39">
                  <c:v>440.12314973216218</c:v>
                </c:pt>
                <c:pt idx="40">
                  <c:v>452.657555224215</c:v>
                </c:pt>
                <c:pt idx="41">
                  <c:v>474.31591822181161</c:v>
                </c:pt>
                <c:pt idx="42">
                  <c:v>477.91769331402833</c:v>
                </c:pt>
                <c:pt idx="43">
                  <c:v>494.37677818855815</c:v>
                </c:pt>
                <c:pt idx="44">
                  <c:v>503.66020168989809</c:v>
                </c:pt>
                <c:pt idx="45">
                  <c:v>525.50473541292524</c:v>
                </c:pt>
                <c:pt idx="46">
                  <c:v>544.60415571569763</c:v>
                </c:pt>
                <c:pt idx="47">
                  <c:v>540.86453278757176</c:v>
                </c:pt>
                <c:pt idx="48">
                  <c:v>550.16200399182071</c:v>
                </c:pt>
                <c:pt idx="49">
                  <c:v>571.20179110400113</c:v>
                </c:pt>
                <c:pt idx="50">
                  <c:v>583.99626069493218</c:v>
                </c:pt>
                <c:pt idx="51">
                  <c:v>600.48262408292351</c:v>
                </c:pt>
                <c:pt idx="52">
                  <c:v>610.07703369323065</c:v>
                </c:pt>
                <c:pt idx="53">
                  <c:v>597.72357004593573</c:v>
                </c:pt>
                <c:pt idx="54">
                  <c:v>623.86867289986128</c:v>
                </c:pt>
                <c:pt idx="55">
                  <c:v>626.566975084246</c:v>
                </c:pt>
                <c:pt idx="56">
                  <c:v>634.38056100310553</c:v>
                </c:pt>
                <c:pt idx="57">
                  <c:v>621.45066092639695</c:v>
                </c:pt>
                <c:pt idx="58">
                  <c:v>619.50962168754768</c:v>
                </c:pt>
                <c:pt idx="59">
                  <c:v>610.77187898791863</c:v>
                </c:pt>
                <c:pt idx="60">
                  <c:v>626.21799666525988</c:v>
                </c:pt>
                <c:pt idx="61">
                  <c:v>600.02978147786212</c:v>
                </c:pt>
                <c:pt idx="62">
                  <c:v>559.4534643358985</c:v>
                </c:pt>
                <c:pt idx="63">
                  <c:v>563.80359344275246</c:v>
                </c:pt>
                <c:pt idx="64">
                  <c:v>574.90893353840227</c:v>
                </c:pt>
                <c:pt idx="65">
                  <c:v>582.78422491505603</c:v>
                </c:pt>
                <c:pt idx="66">
                  <c:v>591.7640491854263</c:v>
                </c:pt>
                <c:pt idx="67">
                  <c:v>597.13585448864706</c:v>
                </c:pt>
                <c:pt idx="68">
                  <c:v>611.2666874924688</c:v>
                </c:pt>
              </c:numCache>
            </c:numRef>
          </c:val>
          <c:extLst>
            <c:ext xmlns:c16="http://schemas.microsoft.com/office/drawing/2014/chart" uri="{C3380CC4-5D6E-409C-BE32-E72D297353CC}">
              <c16:uniqueId val="{00000003-757E-4E08-9DC1-F81A7753E1DD}"/>
            </c:ext>
          </c:extLst>
        </c:ser>
        <c:ser>
          <c:idx val="4"/>
          <c:order val="4"/>
          <c:tx>
            <c:strRef>
              <c:f>texts!$A$78</c:f>
              <c:strCache>
                <c:ptCount val="1"/>
                <c:pt idx="0">
                  <c:v>fossils from 2019</c:v>
                </c:pt>
              </c:strCache>
            </c:strRef>
          </c:tx>
          <c:spPr>
            <a:solidFill>
              <a:schemeClr val="bg1">
                <a:lumMod val="50000"/>
              </a:schemeClr>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data!$CI$4:$CI$156</c15:sqref>
                  </c15:fullRef>
                </c:ext>
              </c:extLst>
              <c:f>data!$CI$6:$CI$156</c:f>
              <c:numCache>
                <c:formatCode>General</c:formatCode>
                <c:ptCount val="151"/>
                <c:pt idx="69">
                  <c:v>12398.798562890479</c:v>
                </c:pt>
                <c:pt idx="70">
                  <c:v>12536.879504085457</c:v>
                </c:pt>
                <c:pt idx="71">
                  <c:v>12634.311019601604</c:v>
                </c:pt>
                <c:pt idx="72">
                  <c:v>12609.190796065584</c:v>
                </c:pt>
                <c:pt idx="73">
                  <c:v>12558.309265321835</c:v>
                </c:pt>
                <c:pt idx="74">
                  <c:v>12476.254838778494</c:v>
                </c:pt>
                <c:pt idx="75">
                  <c:v>12356.613819491391</c:v>
                </c:pt>
                <c:pt idx="76">
                  <c:v>12191.691978269402</c:v>
                </c:pt>
                <c:pt idx="77">
                  <c:v>11972.335509165341</c:v>
                </c:pt>
                <c:pt idx="78">
                  <c:v>11687.726453218093</c:v>
                </c:pt>
                <c:pt idx="79">
                  <c:v>11324.936462533538</c:v>
                </c:pt>
                <c:pt idx="80">
                  <c:v>10935.990614762059</c:v>
                </c:pt>
                <c:pt idx="81">
                  <c:v>10539.553349463586</c:v>
                </c:pt>
                <c:pt idx="82">
                  <c:v>10135.404080211954</c:v>
                </c:pt>
                <c:pt idx="83">
                  <c:v>9723.1535010193693</c:v>
                </c:pt>
                <c:pt idx="84">
                  <c:v>9302.3181586373012</c:v>
                </c:pt>
                <c:pt idx="85">
                  <c:v>8872.548100966671</c:v>
                </c:pt>
                <c:pt idx="86">
                  <c:v>8433.6935245675395</c:v>
                </c:pt>
                <c:pt idx="87">
                  <c:v>7985.8090764086119</c:v>
                </c:pt>
                <c:pt idx="88">
                  <c:v>7529.0113744397968</c:v>
                </c:pt>
                <c:pt idx="89">
                  <c:v>7063.511082679428</c:v>
                </c:pt>
                <c:pt idx="90">
                  <c:v>6589.4697829166362</c:v>
                </c:pt>
                <c:pt idx="91">
                  <c:v>6106.9032258226853</c:v>
                </c:pt>
                <c:pt idx="92">
                  <c:v>5615.7783769128309</c:v>
                </c:pt>
                <c:pt idx="93">
                  <c:v>5116.1581657243914</c:v>
                </c:pt>
                <c:pt idx="94">
                  <c:v>4608.1140350666155</c:v>
                </c:pt>
                <c:pt idx="95">
                  <c:v>4091.7079754410224</c:v>
                </c:pt>
                <c:pt idx="96">
                  <c:v>3566.9706297054945</c:v>
                </c:pt>
                <c:pt idx="97">
                  <c:v>3033.9319821963181</c:v>
                </c:pt>
                <c:pt idx="98">
                  <c:v>2492.6478213345072</c:v>
                </c:pt>
                <c:pt idx="99">
                  <c:v>1943.1781114624391</c:v>
                </c:pt>
                <c:pt idx="100">
                  <c:v>1385.5647590284534</c:v>
                </c:pt>
                <c:pt idx="101">
                  <c:v>819.83336207867251</c:v>
                </c:pt>
                <c:pt idx="102">
                  <c:v>363.60504073984703</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numCache>
            </c:numRef>
          </c:val>
          <c:extLst>
            <c:ext xmlns:c16="http://schemas.microsoft.com/office/drawing/2014/chart" uri="{C3380CC4-5D6E-409C-BE32-E72D297353CC}">
              <c16:uniqueId val="{00000004-757E-4E08-9DC1-F81A7753E1DD}"/>
            </c:ext>
          </c:extLst>
        </c:ser>
        <c:ser>
          <c:idx val="5"/>
          <c:order val="5"/>
          <c:tx>
            <c:strRef>
              <c:f>texts!$A$77</c:f>
              <c:strCache>
                <c:ptCount val="1"/>
                <c:pt idx="0">
                  <c:v>hydro electricity</c:v>
                </c:pt>
              </c:strCache>
            </c:strRef>
          </c:tx>
          <c:spPr>
            <a:solidFill>
              <a:srgbClr val="0000FF"/>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data!$CJ$4:$CJ$156</c15:sqref>
                  </c15:fullRef>
                </c:ext>
              </c:extLst>
              <c:f>data!$CJ$6:$CJ$156</c:f>
              <c:numCache>
                <c:formatCode>General</c:formatCode>
                <c:ptCount val="151"/>
                <c:pt idx="15">
                  <c:v>208.12107429526358</c:v>
                </c:pt>
                <c:pt idx="16">
                  <c:v>223.17189476567157</c:v>
                </c:pt>
                <c:pt idx="17">
                  <c:v>228.3668754598894</c:v>
                </c:pt>
                <c:pt idx="18">
                  <c:v>239.63951215356093</c:v>
                </c:pt>
                <c:pt idx="19">
                  <c:v>253.98074982178028</c:v>
                </c:pt>
                <c:pt idx="20">
                  <c:v>265.77371308252037</c:v>
                </c:pt>
                <c:pt idx="21">
                  <c:v>276.42501925531474</c:v>
                </c:pt>
                <c:pt idx="22">
                  <c:v>288.90039279589837</c:v>
                </c:pt>
                <c:pt idx="23">
                  <c:v>292.5175930356732</c:v>
                </c:pt>
                <c:pt idx="24">
                  <c:v>321.09488181076557</c:v>
                </c:pt>
                <c:pt idx="25">
                  <c:v>325.93834072756272</c:v>
                </c:pt>
                <c:pt idx="26">
                  <c:v>324.75637764740299</c:v>
                </c:pt>
                <c:pt idx="27">
                  <c:v>333.20343556066393</c:v>
                </c:pt>
                <c:pt idx="28">
                  <c:v>359.48420650769481</c:v>
                </c:pt>
                <c:pt idx="29">
                  <c:v>377.33282135555061</c:v>
                </c:pt>
                <c:pt idx="30">
                  <c:v>384.35295355835603</c:v>
                </c:pt>
                <c:pt idx="31">
                  <c:v>390.37714300387427</c:v>
                </c:pt>
                <c:pt idx="32">
                  <c:v>406.58984738630602</c:v>
                </c:pt>
                <c:pt idx="33">
                  <c:v>425.23170070023929</c:v>
                </c:pt>
                <c:pt idx="34">
                  <c:v>439.21328316394863</c:v>
                </c:pt>
                <c:pt idx="35">
                  <c:v>447.93179465542227</c:v>
                </c:pt>
                <c:pt idx="36">
                  <c:v>454.06874326587246</c:v>
                </c:pt>
                <c:pt idx="37">
                  <c:v>460.35992065599214</c:v>
                </c:pt>
                <c:pt idx="38">
                  <c:v>474.97642628856312</c:v>
                </c:pt>
                <c:pt idx="39">
                  <c:v>472.13223288796956</c:v>
                </c:pt>
                <c:pt idx="40">
                  <c:v>488.99128469718391</c:v>
                </c:pt>
                <c:pt idx="41">
                  <c:v>500.77674724946644</c:v>
                </c:pt>
                <c:pt idx="42">
                  <c:v>500.40856067416735</c:v>
                </c:pt>
                <c:pt idx="43">
                  <c:v>530.44896381517788</c:v>
                </c:pt>
                <c:pt idx="44">
                  <c:v>533.93956619553489</c:v>
                </c:pt>
                <c:pt idx="45">
                  <c:v>563.19523473699644</c:v>
                </c:pt>
                <c:pt idx="46">
                  <c:v>571.07886595745811</c:v>
                </c:pt>
                <c:pt idx="47">
                  <c:v>581.44179977974193</c:v>
                </c:pt>
                <c:pt idx="48">
                  <c:v>586.1790173865179</c:v>
                </c:pt>
                <c:pt idx="49">
                  <c:v>590.19312580265114</c:v>
                </c:pt>
                <c:pt idx="50">
                  <c:v>600.69319499430298</c:v>
                </c:pt>
                <c:pt idx="51">
                  <c:v>585.25577422620324</c:v>
                </c:pt>
                <c:pt idx="52">
                  <c:v>595.91567788713485</c:v>
                </c:pt>
                <c:pt idx="53">
                  <c:v>594.79097542577779</c:v>
                </c:pt>
                <c:pt idx="54">
                  <c:v>634.77546093445062</c:v>
                </c:pt>
                <c:pt idx="55">
                  <c:v>659.78216194288791</c:v>
                </c:pt>
                <c:pt idx="56">
                  <c:v>684.83778267753485</c:v>
                </c:pt>
                <c:pt idx="57">
                  <c:v>696.79934888895684</c:v>
                </c:pt>
                <c:pt idx="58">
                  <c:v>736.80822433706885</c:v>
                </c:pt>
                <c:pt idx="59">
                  <c:v>735.43992264656833</c:v>
                </c:pt>
                <c:pt idx="60">
                  <c:v>776.79073572133836</c:v>
                </c:pt>
                <c:pt idx="61">
                  <c:v>791.78159821358292</c:v>
                </c:pt>
                <c:pt idx="62">
                  <c:v>829.69927666190858</c:v>
                </c:pt>
                <c:pt idx="63">
                  <c:v>858.31312954409566</c:v>
                </c:pt>
                <c:pt idx="64">
                  <c:v>878.65851538065942</c:v>
                </c:pt>
                <c:pt idx="65">
                  <c:v>878.94677039973385</c:v>
                </c:pt>
                <c:pt idx="66">
                  <c:v>909.11521319946382</c:v>
                </c:pt>
                <c:pt idx="67">
                  <c:v>919.90838745006522</c:v>
                </c:pt>
                <c:pt idx="68">
                  <c:v>948.79489323391624</c:v>
                </c:pt>
                <c:pt idx="69">
                  <c:v>972.39515442112543</c:v>
                </c:pt>
                <c:pt idx="70">
                  <c:v>995.99541560833461</c:v>
                </c:pt>
                <c:pt idx="71">
                  <c:v>1019.5956767955438</c:v>
                </c:pt>
                <c:pt idx="72">
                  <c:v>1043.1959379827531</c:v>
                </c:pt>
                <c:pt idx="73">
                  <c:v>1066.7961991699624</c:v>
                </c:pt>
                <c:pt idx="74">
                  <c:v>1090.3964603571717</c:v>
                </c:pt>
                <c:pt idx="75">
                  <c:v>1113.996721544381</c:v>
                </c:pt>
                <c:pt idx="76">
                  <c:v>1137.5969827315903</c:v>
                </c:pt>
                <c:pt idx="77">
                  <c:v>1161.1972439187996</c:v>
                </c:pt>
                <c:pt idx="78">
                  <c:v>1184.7975051060089</c:v>
                </c:pt>
                <c:pt idx="79">
                  <c:v>1208.3977662932182</c:v>
                </c:pt>
                <c:pt idx="80">
                  <c:v>1231.9980274804275</c:v>
                </c:pt>
                <c:pt idx="81">
                  <c:v>1255.5982886676368</c:v>
                </c:pt>
                <c:pt idx="82">
                  <c:v>1279.1985498548461</c:v>
                </c:pt>
                <c:pt idx="83">
                  <c:v>1302.7988110420554</c:v>
                </c:pt>
                <c:pt idx="84">
                  <c:v>1326.3990722292647</c:v>
                </c:pt>
                <c:pt idx="85">
                  <c:v>1349.999333416474</c:v>
                </c:pt>
                <c:pt idx="86">
                  <c:v>1373.5995946036833</c:v>
                </c:pt>
                <c:pt idx="87">
                  <c:v>1397.1998557908926</c:v>
                </c:pt>
                <c:pt idx="88">
                  <c:v>1420.8001169781019</c:v>
                </c:pt>
                <c:pt idx="89">
                  <c:v>1444.4003781653112</c:v>
                </c:pt>
                <c:pt idx="90">
                  <c:v>1468.0006393525205</c:v>
                </c:pt>
                <c:pt idx="91">
                  <c:v>1491.6009005397298</c:v>
                </c:pt>
                <c:pt idx="92">
                  <c:v>1515.2011617269391</c:v>
                </c:pt>
                <c:pt idx="93">
                  <c:v>1538.8014229141484</c:v>
                </c:pt>
                <c:pt idx="94">
                  <c:v>1562.4016841013577</c:v>
                </c:pt>
                <c:pt idx="95">
                  <c:v>1586.001945288567</c:v>
                </c:pt>
                <c:pt idx="96">
                  <c:v>1609.6022064757763</c:v>
                </c:pt>
                <c:pt idx="97">
                  <c:v>1633.2024676629856</c:v>
                </c:pt>
                <c:pt idx="98">
                  <c:v>1656.8027288501949</c:v>
                </c:pt>
                <c:pt idx="99">
                  <c:v>1680.4029900374042</c:v>
                </c:pt>
                <c:pt idx="100">
                  <c:v>1704.0032512246135</c:v>
                </c:pt>
                <c:pt idx="101">
                  <c:v>1727.6035124118227</c:v>
                </c:pt>
                <c:pt idx="102">
                  <c:v>1751.203773599032</c:v>
                </c:pt>
                <c:pt idx="103">
                  <c:v>1774.8040347862413</c:v>
                </c:pt>
                <c:pt idx="104">
                  <c:v>1798.4042959734506</c:v>
                </c:pt>
                <c:pt idx="105">
                  <c:v>1822.0045571606599</c:v>
                </c:pt>
                <c:pt idx="106">
                  <c:v>1845.6048183478692</c:v>
                </c:pt>
                <c:pt idx="107">
                  <c:v>1869.2050795350785</c:v>
                </c:pt>
                <c:pt idx="108">
                  <c:v>1892.8053407222878</c:v>
                </c:pt>
                <c:pt idx="109">
                  <c:v>1897.5897864678325</c:v>
                </c:pt>
                <c:pt idx="110">
                  <c:v>1897.5897864678325</c:v>
                </c:pt>
                <c:pt idx="111">
                  <c:v>1897.5897864678325</c:v>
                </c:pt>
                <c:pt idx="112">
                  <c:v>1897.5897864678325</c:v>
                </c:pt>
                <c:pt idx="113">
                  <c:v>1897.5897864678325</c:v>
                </c:pt>
                <c:pt idx="114">
                  <c:v>1897.5897864678325</c:v>
                </c:pt>
                <c:pt idx="115">
                  <c:v>1897.5897864678325</c:v>
                </c:pt>
                <c:pt idx="116">
                  <c:v>1897.5897864678325</c:v>
                </c:pt>
                <c:pt idx="117">
                  <c:v>1897.5897864678325</c:v>
                </c:pt>
                <c:pt idx="118">
                  <c:v>1897.5897864678325</c:v>
                </c:pt>
                <c:pt idx="119">
                  <c:v>1897.5897864678325</c:v>
                </c:pt>
                <c:pt idx="120">
                  <c:v>1897.5897864678325</c:v>
                </c:pt>
                <c:pt idx="121">
                  <c:v>1897.5897864678325</c:v>
                </c:pt>
                <c:pt idx="122">
                  <c:v>1897.5897864678325</c:v>
                </c:pt>
                <c:pt idx="123">
                  <c:v>1897.5897864678325</c:v>
                </c:pt>
                <c:pt idx="124">
                  <c:v>1897.5897864678325</c:v>
                </c:pt>
                <c:pt idx="125">
                  <c:v>1897.5897864678325</c:v>
                </c:pt>
                <c:pt idx="126">
                  <c:v>1897.5897864678325</c:v>
                </c:pt>
                <c:pt idx="127">
                  <c:v>1897.5897864678325</c:v>
                </c:pt>
                <c:pt idx="128">
                  <c:v>1897.5897864678325</c:v>
                </c:pt>
                <c:pt idx="129">
                  <c:v>1897.5897864678325</c:v>
                </c:pt>
                <c:pt idx="130">
                  <c:v>1897.5897864678325</c:v>
                </c:pt>
                <c:pt idx="131">
                  <c:v>1897.5897864678325</c:v>
                </c:pt>
                <c:pt idx="132">
                  <c:v>1897.5897864678325</c:v>
                </c:pt>
                <c:pt idx="133">
                  <c:v>1897.5897864678325</c:v>
                </c:pt>
                <c:pt idx="134">
                  <c:v>1897.5897864678325</c:v>
                </c:pt>
                <c:pt idx="135">
                  <c:v>1897.5897864678325</c:v>
                </c:pt>
                <c:pt idx="136">
                  <c:v>1897.5897864678325</c:v>
                </c:pt>
                <c:pt idx="137">
                  <c:v>1897.5897864678325</c:v>
                </c:pt>
                <c:pt idx="138">
                  <c:v>1897.5897864678325</c:v>
                </c:pt>
                <c:pt idx="139">
                  <c:v>1897.5897864678325</c:v>
                </c:pt>
                <c:pt idx="140">
                  <c:v>1897.5897864678325</c:v>
                </c:pt>
                <c:pt idx="141">
                  <c:v>1897.5897864678325</c:v>
                </c:pt>
                <c:pt idx="142">
                  <c:v>1897.5897864678325</c:v>
                </c:pt>
                <c:pt idx="143">
                  <c:v>1897.5897864678325</c:v>
                </c:pt>
                <c:pt idx="144">
                  <c:v>1897.5897864678325</c:v>
                </c:pt>
                <c:pt idx="145">
                  <c:v>1897.5897864678325</c:v>
                </c:pt>
                <c:pt idx="146">
                  <c:v>1897.5897864678325</c:v>
                </c:pt>
                <c:pt idx="147">
                  <c:v>1897.5897864678325</c:v>
                </c:pt>
                <c:pt idx="148">
                  <c:v>1897.5897864678325</c:v>
                </c:pt>
                <c:pt idx="149">
                  <c:v>1897.5897864678325</c:v>
                </c:pt>
                <c:pt idx="150">
                  <c:v>1897.5897864678325</c:v>
                </c:pt>
              </c:numCache>
            </c:numRef>
          </c:val>
          <c:extLst>
            <c:ext xmlns:c16="http://schemas.microsoft.com/office/drawing/2014/chart" uri="{C3380CC4-5D6E-409C-BE32-E72D297353CC}">
              <c16:uniqueId val="{00000005-757E-4E08-9DC1-F81A7753E1DD}"/>
            </c:ext>
          </c:extLst>
        </c:ser>
        <c:ser>
          <c:idx val="6"/>
          <c:order val="6"/>
          <c:tx>
            <c:strRef>
              <c:f>texts!$A$76</c:f>
              <c:strCache>
                <c:ptCount val="1"/>
                <c:pt idx="0">
                  <c:v>bio/CO2-fuels</c:v>
                </c:pt>
              </c:strCache>
            </c:strRef>
          </c:tx>
          <c:spPr>
            <a:solidFill>
              <a:srgbClr val="99FF33"/>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data!$CK$4:$CK$156</c15:sqref>
                  </c15:fullRef>
                </c:ext>
              </c:extLst>
              <c:f>data!$CK$6:$CK$156</c:f>
              <c:numCache>
                <c:formatCode>General</c:formatCode>
                <c:ptCount val="151"/>
                <c:pt idx="15">
                  <c:v>4.0696094708903292</c:v>
                </c:pt>
                <c:pt idx="16">
                  <c:v>4.4816053978533139</c:v>
                </c:pt>
                <c:pt idx="17">
                  <c:v>4.5224624932452624</c:v>
                </c:pt>
                <c:pt idx="18">
                  <c:v>5.0052145305190807</c:v>
                </c:pt>
                <c:pt idx="19">
                  <c:v>5.2626972839157489</c:v>
                </c:pt>
                <c:pt idx="20">
                  <c:v>5.8137294624855542</c:v>
                </c:pt>
                <c:pt idx="21">
                  <c:v>6.3083605157451297</c:v>
                </c:pt>
                <c:pt idx="22">
                  <c:v>6.7604427794994573</c:v>
                </c:pt>
                <c:pt idx="23">
                  <c:v>7.2600180613333736</c:v>
                </c:pt>
                <c:pt idx="24">
                  <c:v>7.6840325796517996</c:v>
                </c:pt>
                <c:pt idx="25">
                  <c:v>7.8027964492084694</c:v>
                </c:pt>
                <c:pt idx="26">
                  <c:v>8.7027550955664417</c:v>
                </c:pt>
                <c:pt idx="27">
                  <c:v>9.1782950688917673</c:v>
                </c:pt>
                <c:pt idx="28">
                  <c:v>9.7224686248854493</c:v>
                </c:pt>
                <c:pt idx="29">
                  <c:v>10.446967646907948</c:v>
                </c:pt>
                <c:pt idx="30">
                  <c:v>11.174676166362007</c:v>
                </c:pt>
                <c:pt idx="31">
                  <c:v>12.027547287754285</c:v>
                </c:pt>
                <c:pt idx="32">
                  <c:v>13.886626333011179</c:v>
                </c:pt>
                <c:pt idx="33">
                  <c:v>15.390761808715681</c:v>
                </c:pt>
                <c:pt idx="34">
                  <c:v>17.19899043007554</c:v>
                </c:pt>
                <c:pt idx="35">
                  <c:v>17.602441774896104</c:v>
                </c:pt>
                <c:pt idx="36">
                  <c:v>19.364423408710149</c:v>
                </c:pt>
                <c:pt idx="37">
                  <c:v>20.736492362010299</c:v>
                </c:pt>
                <c:pt idx="38">
                  <c:v>21.333377217160074</c:v>
                </c:pt>
                <c:pt idx="39">
                  <c:v>23.540370372362027</c:v>
                </c:pt>
                <c:pt idx="40">
                  <c:v>34.157322278525697</c:v>
                </c:pt>
                <c:pt idx="41">
                  <c:v>36.240720281641501</c:v>
                </c:pt>
                <c:pt idx="42">
                  <c:v>37.924200571736847</c:v>
                </c:pt>
                <c:pt idx="43">
                  <c:v>39.072840078271049</c:v>
                </c:pt>
                <c:pt idx="44">
                  <c:v>41.171250286912404</c:v>
                </c:pt>
                <c:pt idx="45">
                  <c:v>42.836532934810776</c:v>
                </c:pt>
                <c:pt idx="46">
                  <c:v>43.820975024191561</c:v>
                </c:pt>
                <c:pt idx="47">
                  <c:v>47.82267482923659</c:v>
                </c:pt>
                <c:pt idx="48">
                  <c:v>48.995460023837815</c:v>
                </c:pt>
                <c:pt idx="49">
                  <c:v>50.565768999528053</c:v>
                </c:pt>
                <c:pt idx="50">
                  <c:v>51.954241844018441</c:v>
                </c:pt>
                <c:pt idx="51">
                  <c:v>54.168627967856686</c:v>
                </c:pt>
                <c:pt idx="52">
                  <c:v>59.431858843142159</c:v>
                </c:pt>
                <c:pt idx="53">
                  <c:v>65.076986728537463</c:v>
                </c:pt>
                <c:pt idx="54">
                  <c:v>71.072959925503426</c:v>
                </c:pt>
                <c:pt idx="55">
                  <c:v>78.789564650326767</c:v>
                </c:pt>
                <c:pt idx="56">
                  <c:v>88.45121094174317</c:v>
                </c:pt>
                <c:pt idx="57">
                  <c:v>103.27499742006798</c:v>
                </c:pt>
                <c:pt idx="58">
                  <c:v>120.73026859626052</c:v>
                </c:pt>
                <c:pt idx="59">
                  <c:v>131.40423653079802</c:v>
                </c:pt>
                <c:pt idx="60">
                  <c:v>148.87651210541526</c:v>
                </c:pt>
                <c:pt idx="61">
                  <c:v>156.41943437817679</c:v>
                </c:pt>
                <c:pt idx="62">
                  <c:v>165.14605587284177</c:v>
                </c:pt>
                <c:pt idx="63">
                  <c:v>178.5748430705857</c:v>
                </c:pt>
                <c:pt idx="64">
                  <c:v>193.70293024765681</c:v>
                </c:pt>
                <c:pt idx="65">
                  <c:v>201.71409482508636</c:v>
                </c:pt>
                <c:pt idx="66">
                  <c:v>209.15652176633677</c:v>
                </c:pt>
                <c:pt idx="67">
                  <c:v>219.28418053694435</c:v>
                </c:pt>
                <c:pt idx="68">
                  <c:v>236.97528009847514</c:v>
                </c:pt>
                <c:pt idx="69">
                  <c:v>240.88138560932882</c:v>
                </c:pt>
                <c:pt idx="70">
                  <c:v>244.78341705970263</c:v>
                </c:pt>
                <c:pt idx="71">
                  <c:v>248.78016586908942</c:v>
                </c:pt>
                <c:pt idx="72">
                  <c:v>283.82184618476873</c:v>
                </c:pt>
                <c:pt idx="73">
                  <c:v>319.88048749662181</c:v>
                </c:pt>
                <c:pt idx="74">
                  <c:v>356.9604025090253</c:v>
                </c:pt>
                <c:pt idx="75">
                  <c:v>395.06542857541012</c:v>
                </c:pt>
                <c:pt idx="76">
                  <c:v>434.19740963418826</c:v>
                </c:pt>
                <c:pt idx="77">
                  <c:v>474.35807412744441</c:v>
                </c:pt>
                <c:pt idx="78">
                  <c:v>515.55267597610327</c:v>
                </c:pt>
                <c:pt idx="79">
                  <c:v>557.78857456046671</c:v>
                </c:pt>
                <c:pt idx="80">
                  <c:v>601.07288284391996</c:v>
                </c:pt>
                <c:pt idx="81">
                  <c:v>645.40987362045075</c:v>
                </c:pt>
                <c:pt idx="82">
                  <c:v>690.79699602912433</c:v>
                </c:pt>
                <c:pt idx="83">
                  <c:v>737.22226453530482</c:v>
                </c:pt>
                <c:pt idx="84">
                  <c:v>784.66544412821418</c:v>
                </c:pt>
                <c:pt idx="85">
                  <c:v>833.10772143926749</c:v>
                </c:pt>
                <c:pt idx="86">
                  <c:v>882.53661209015809</c:v>
                </c:pt>
                <c:pt idx="87">
                  <c:v>932.94865848435632</c:v>
                </c:pt>
                <c:pt idx="88">
                  <c:v>984.34414757586455</c:v>
                </c:pt>
                <c:pt idx="89">
                  <c:v>1036.7298258798362</c:v>
                </c:pt>
                <c:pt idx="90">
                  <c:v>1090.1115946796237</c:v>
                </c:pt>
                <c:pt idx="91">
                  <c:v>1144.4878676329984</c:v>
                </c:pt>
                <c:pt idx="92">
                  <c:v>1199.8539382188153</c:v>
                </c:pt>
                <c:pt idx="93">
                  <c:v>1256.211065142036</c:v>
                </c:pt>
                <c:pt idx="94">
                  <c:v>1313.5616990975902</c:v>
                </c:pt>
                <c:pt idx="95">
                  <c:v>1371.908335839958</c:v>
                </c:pt>
                <c:pt idx="96">
                  <c:v>1431.2517797688715</c:v>
                </c:pt>
                <c:pt idx="97">
                  <c:v>1491.5930852100068</c:v>
                </c:pt>
                <c:pt idx="98">
                  <c:v>1552.9356674559601</c:v>
                </c:pt>
                <c:pt idx="99">
                  <c:v>1615.283928665222</c:v>
                </c:pt>
                <c:pt idx="100">
                  <c:v>1678.6414745169659</c:v>
                </c:pt>
                <c:pt idx="101">
                  <c:v>1743.0110286330266</c:v>
                </c:pt>
                <c:pt idx="102">
                  <c:v>1762.2026096821612</c:v>
                </c:pt>
                <c:pt idx="103">
                  <c:v>1781.3988106239278</c:v>
                </c:pt>
                <c:pt idx="104">
                  <c:v>1800.5959887713343</c:v>
                </c:pt>
                <c:pt idx="105">
                  <c:v>1819.7912769578538</c:v>
                </c:pt>
                <c:pt idx="106">
                  <c:v>1838.9835735904617</c:v>
                </c:pt>
                <c:pt idx="107">
                  <c:v>1858.1727344851006</c:v>
                </c:pt>
                <c:pt idx="108">
                  <c:v>1877.3572069898466</c:v>
                </c:pt>
                <c:pt idx="109">
                  <c:v>1896.5354763383948</c:v>
                </c:pt>
                <c:pt idx="110">
                  <c:v>1915.7057565168348</c:v>
                </c:pt>
                <c:pt idx="111">
                  <c:v>1934.8674465813313</c:v>
                </c:pt>
                <c:pt idx="112">
                  <c:v>1954.0187128422258</c:v>
                </c:pt>
                <c:pt idx="113">
                  <c:v>1973.1550591814148</c:v>
                </c:pt>
                <c:pt idx="114">
                  <c:v>1992.2708764100719</c:v>
                </c:pt>
                <c:pt idx="115">
                  <c:v>2011.3620349303071</c:v>
                </c:pt>
                <c:pt idx="116">
                  <c:v>2030.4275558641348</c:v>
                </c:pt>
                <c:pt idx="117">
                  <c:v>2049.4682313764274</c:v>
                </c:pt>
                <c:pt idx="118">
                  <c:v>2068.4844177158375</c:v>
                </c:pt>
                <c:pt idx="119">
                  <c:v>2087.4771965391587</c:v>
                </c:pt>
                <c:pt idx="120">
                  <c:v>2106.4483159769507</c:v>
                </c:pt>
                <c:pt idx="121">
                  <c:v>2116.1857056584149</c:v>
                </c:pt>
                <c:pt idx="122">
                  <c:v>2125.8208667930203</c:v>
                </c:pt>
                <c:pt idx="123">
                  <c:v>2135.3607904157634</c:v>
                </c:pt>
                <c:pt idx="124">
                  <c:v>2144.8139653374274</c:v>
                </c:pt>
                <c:pt idx="125">
                  <c:v>2154.18785473973</c:v>
                </c:pt>
                <c:pt idx="126">
                  <c:v>2163.4871617573426</c:v>
                </c:pt>
                <c:pt idx="127">
                  <c:v>2172.7155093322604</c:v>
                </c:pt>
                <c:pt idx="128">
                  <c:v>2181.8778361394966</c:v>
                </c:pt>
                <c:pt idx="129">
                  <c:v>2190.9790743108379</c:v>
                </c:pt>
                <c:pt idx="130">
                  <c:v>2200.023802809294</c:v>
                </c:pt>
                <c:pt idx="131">
                  <c:v>2209.0146134026809</c:v>
                </c:pt>
                <c:pt idx="132">
                  <c:v>2217.9549509841386</c:v>
                </c:pt>
                <c:pt idx="133">
                  <c:v>2226.8508063541221</c:v>
                </c:pt>
                <c:pt idx="134">
                  <c:v>2235.7087316830462</c:v>
                </c:pt>
                <c:pt idx="135">
                  <c:v>2244.5333957444768</c:v>
                </c:pt>
                <c:pt idx="136">
                  <c:v>2253.3264209934355</c:v>
                </c:pt>
                <c:pt idx="137">
                  <c:v>2262.0865693839528</c:v>
                </c:pt>
                <c:pt idx="138">
                  <c:v>2270.8113602903159</c:v>
                </c:pt>
                <c:pt idx="139">
                  <c:v>2279.496728646212</c:v>
                </c:pt>
                <c:pt idx="140">
                  <c:v>2288.1384931348907</c:v>
                </c:pt>
                <c:pt idx="141">
                  <c:v>2296.7328992992111</c:v>
                </c:pt>
                <c:pt idx="142">
                  <c:v>2305.2765138891459</c:v>
                </c:pt>
                <c:pt idx="143">
                  <c:v>2313.765676919184</c:v>
                </c:pt>
                <c:pt idx="144">
                  <c:v>2322.1960728491845</c:v>
                </c:pt>
                <c:pt idx="145">
                  <c:v>2330.5622481715795</c:v>
                </c:pt>
                <c:pt idx="146">
                  <c:v>2338.8573976989651</c:v>
                </c:pt>
                <c:pt idx="147">
                  <c:v>2347.073361633797</c:v>
                </c:pt>
                <c:pt idx="148">
                  <c:v>2355.2005622273487</c:v>
                </c:pt>
                <c:pt idx="149">
                  <c:v>2363.227981706209</c:v>
                </c:pt>
                <c:pt idx="150">
                  <c:v>2371.1431728000002</c:v>
                </c:pt>
              </c:numCache>
            </c:numRef>
          </c:val>
          <c:extLst>
            <c:ext xmlns:c16="http://schemas.microsoft.com/office/drawing/2014/chart" uri="{C3380CC4-5D6E-409C-BE32-E72D297353CC}">
              <c16:uniqueId val="{00000006-757E-4E08-9DC1-F81A7753E1DD}"/>
            </c:ext>
          </c:extLst>
        </c:ser>
        <c:ser>
          <c:idx val="7"/>
          <c:order val="7"/>
          <c:tx>
            <c:strRef>
              <c:f>texts!$A$75</c:f>
              <c:strCache>
                <c:ptCount val="1"/>
                <c:pt idx="0">
                  <c:v>BECCS</c:v>
                </c:pt>
              </c:strCache>
            </c:strRef>
          </c:tx>
          <c:spPr>
            <a:solidFill>
              <a:srgbClr val="0099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data!$CL$4:$CL$156</c15:sqref>
                  </c15:fullRef>
                </c:ext>
              </c:extLst>
              <c:f>data!$CL$6:$CL$156</c:f>
              <c:numCache>
                <c:formatCode>General</c:formatCode>
                <c:ptCount val="151"/>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71.434334576529537</c:v>
                </c:pt>
                <c:pt idx="73">
                  <c:v>142.86866915305907</c:v>
                </c:pt>
                <c:pt idx="74">
                  <c:v>214.3030037295886</c:v>
                </c:pt>
                <c:pt idx="75">
                  <c:v>285.73733830611815</c:v>
                </c:pt>
                <c:pt idx="76">
                  <c:v>357.17167288264773</c:v>
                </c:pt>
                <c:pt idx="77">
                  <c:v>428.60600745917719</c:v>
                </c:pt>
                <c:pt idx="78">
                  <c:v>500.04034203570677</c:v>
                </c:pt>
                <c:pt idx="79">
                  <c:v>571.47467661223629</c:v>
                </c:pt>
                <c:pt idx="80">
                  <c:v>642.90901118876593</c:v>
                </c:pt>
                <c:pt idx="81">
                  <c:v>714.34334576529545</c:v>
                </c:pt>
                <c:pt idx="82">
                  <c:v>785.77768034182486</c:v>
                </c:pt>
                <c:pt idx="83">
                  <c:v>857.21201491835438</c:v>
                </c:pt>
                <c:pt idx="84">
                  <c:v>928.64634949488413</c:v>
                </c:pt>
                <c:pt idx="85">
                  <c:v>1000.0806840714135</c:v>
                </c:pt>
                <c:pt idx="86">
                  <c:v>1071.5150186479432</c:v>
                </c:pt>
                <c:pt idx="87">
                  <c:v>1142.9493532244726</c:v>
                </c:pt>
                <c:pt idx="88">
                  <c:v>1214.3836878010022</c:v>
                </c:pt>
                <c:pt idx="89">
                  <c:v>1285.8180223775319</c:v>
                </c:pt>
                <c:pt idx="90">
                  <c:v>1357.252356954061</c:v>
                </c:pt>
                <c:pt idx="91">
                  <c:v>1428.6866915305909</c:v>
                </c:pt>
                <c:pt idx="92">
                  <c:v>1500.1210261071201</c:v>
                </c:pt>
                <c:pt idx="93">
                  <c:v>1571.5553606836497</c:v>
                </c:pt>
                <c:pt idx="94">
                  <c:v>1642.9896952601796</c:v>
                </c:pt>
                <c:pt idx="95">
                  <c:v>1714.4240298367088</c:v>
                </c:pt>
                <c:pt idx="96">
                  <c:v>1785.8583644132389</c:v>
                </c:pt>
                <c:pt idx="97">
                  <c:v>1857.2926989897683</c:v>
                </c:pt>
                <c:pt idx="98">
                  <c:v>1928.7270335662972</c:v>
                </c:pt>
                <c:pt idx="99">
                  <c:v>2000.1613681428271</c:v>
                </c:pt>
                <c:pt idx="100">
                  <c:v>2071.5957027193563</c:v>
                </c:pt>
                <c:pt idx="101">
                  <c:v>2143.0300372958864</c:v>
                </c:pt>
                <c:pt idx="102">
                  <c:v>2143.0300372958864</c:v>
                </c:pt>
                <c:pt idx="103">
                  <c:v>2143.0300372958864</c:v>
                </c:pt>
                <c:pt idx="104">
                  <c:v>2143.0300372958864</c:v>
                </c:pt>
                <c:pt idx="105">
                  <c:v>2143.0300372958864</c:v>
                </c:pt>
                <c:pt idx="106">
                  <c:v>2143.0300372958864</c:v>
                </c:pt>
                <c:pt idx="107">
                  <c:v>2143.0300372958864</c:v>
                </c:pt>
                <c:pt idx="108">
                  <c:v>2143.0300372958864</c:v>
                </c:pt>
                <c:pt idx="109">
                  <c:v>2143.0300372958864</c:v>
                </c:pt>
                <c:pt idx="110">
                  <c:v>2143.0300372958864</c:v>
                </c:pt>
                <c:pt idx="111">
                  <c:v>2143.0300372958864</c:v>
                </c:pt>
                <c:pt idx="112">
                  <c:v>2143.0300372958864</c:v>
                </c:pt>
                <c:pt idx="113">
                  <c:v>2143.0300372958864</c:v>
                </c:pt>
                <c:pt idx="114">
                  <c:v>2143.0300372958864</c:v>
                </c:pt>
                <c:pt idx="115">
                  <c:v>2143.0300372958864</c:v>
                </c:pt>
                <c:pt idx="116">
                  <c:v>2143.0300372958864</c:v>
                </c:pt>
                <c:pt idx="117">
                  <c:v>2143.0300372958864</c:v>
                </c:pt>
                <c:pt idx="118">
                  <c:v>2143.0300372958864</c:v>
                </c:pt>
                <c:pt idx="119">
                  <c:v>2143.0300372958864</c:v>
                </c:pt>
                <c:pt idx="120">
                  <c:v>2143.0300372958864</c:v>
                </c:pt>
                <c:pt idx="121">
                  <c:v>2143.0300372958864</c:v>
                </c:pt>
                <c:pt idx="122">
                  <c:v>2143.0300372958864</c:v>
                </c:pt>
                <c:pt idx="123">
                  <c:v>2143.0300372958864</c:v>
                </c:pt>
                <c:pt idx="124">
                  <c:v>2143.0300372958864</c:v>
                </c:pt>
                <c:pt idx="125">
                  <c:v>2143.0300372958864</c:v>
                </c:pt>
                <c:pt idx="126">
                  <c:v>2143.0300372958864</c:v>
                </c:pt>
                <c:pt idx="127">
                  <c:v>2143.0300372958864</c:v>
                </c:pt>
                <c:pt idx="128">
                  <c:v>2143.0300372958864</c:v>
                </c:pt>
                <c:pt idx="129">
                  <c:v>2143.0300372958864</c:v>
                </c:pt>
                <c:pt idx="130">
                  <c:v>2143.0300372958864</c:v>
                </c:pt>
                <c:pt idx="131">
                  <c:v>2143.0300372958864</c:v>
                </c:pt>
                <c:pt idx="132">
                  <c:v>2143.0300372958864</c:v>
                </c:pt>
                <c:pt idx="133">
                  <c:v>2143.0300372958864</c:v>
                </c:pt>
                <c:pt idx="134">
                  <c:v>2143.0300372958864</c:v>
                </c:pt>
                <c:pt idx="135">
                  <c:v>2143.0300372958864</c:v>
                </c:pt>
                <c:pt idx="136">
                  <c:v>2143.0300372958864</c:v>
                </c:pt>
                <c:pt idx="137">
                  <c:v>2143.0300372958864</c:v>
                </c:pt>
                <c:pt idx="138">
                  <c:v>2143.0300372958864</c:v>
                </c:pt>
                <c:pt idx="139">
                  <c:v>2143.0300372958864</c:v>
                </c:pt>
                <c:pt idx="140">
                  <c:v>2143.0300372958864</c:v>
                </c:pt>
                <c:pt idx="141">
                  <c:v>2143.0300372958864</c:v>
                </c:pt>
                <c:pt idx="142">
                  <c:v>2143.0300372958864</c:v>
                </c:pt>
                <c:pt idx="143">
                  <c:v>2143.0300372958864</c:v>
                </c:pt>
                <c:pt idx="144">
                  <c:v>2143.0300372958864</c:v>
                </c:pt>
                <c:pt idx="145">
                  <c:v>2143.0300372958864</c:v>
                </c:pt>
                <c:pt idx="146">
                  <c:v>2143.0300372958864</c:v>
                </c:pt>
                <c:pt idx="147">
                  <c:v>2143.0300372958864</c:v>
                </c:pt>
                <c:pt idx="148">
                  <c:v>2143.0300372958864</c:v>
                </c:pt>
                <c:pt idx="149">
                  <c:v>2143.0300372958864</c:v>
                </c:pt>
                <c:pt idx="150">
                  <c:v>2143.0300372958864</c:v>
                </c:pt>
              </c:numCache>
            </c:numRef>
          </c:val>
          <c:extLst>
            <c:ext xmlns:c16="http://schemas.microsoft.com/office/drawing/2014/chart" uri="{C3380CC4-5D6E-409C-BE32-E72D297353CC}">
              <c16:uniqueId val="{00000007-757E-4E08-9DC1-F81A7753E1DD}"/>
            </c:ext>
          </c:extLst>
        </c:ser>
        <c:ser>
          <c:idx val="8"/>
          <c:order val="8"/>
          <c:tx>
            <c:strRef>
              <c:f>texts!$A$74</c:f>
              <c:strCache>
                <c:ptCount val="1"/>
                <c:pt idx="0">
                  <c:v>solar to 2018</c:v>
                </c:pt>
              </c:strCache>
            </c:strRef>
          </c:tx>
          <c:spPr>
            <a:solidFill>
              <a:srgbClr val="FF00FF"/>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data!$CM$4:$CM$156</c15:sqref>
                  </c15:fullRef>
                </c:ext>
              </c:extLst>
              <c:f>data!$CM$6:$CM$156</c:f>
              <c:numCache>
                <c:formatCode>General</c:formatCode>
                <c:ptCount val="151"/>
                <c:pt idx="33">
                  <c:v>6.7882517988867002E-4</c:v>
                </c:pt>
                <c:pt idx="34">
                  <c:v>1.4280470450991263E-3</c:v>
                </c:pt>
                <c:pt idx="35">
                  <c:v>2.6581605528973829E-3</c:v>
                </c:pt>
                <c:pt idx="36">
                  <c:v>3.4357239407698591E-3</c:v>
                </c:pt>
                <c:pt idx="37">
                  <c:v>2.3992013176065215E-3</c:v>
                </c:pt>
                <c:pt idx="38">
                  <c:v>2.3070913689549593E-3</c:v>
                </c:pt>
                <c:pt idx="39">
                  <c:v>5.9334577617602212E-2</c:v>
                </c:pt>
                <c:pt idx="40">
                  <c:v>8.786146298025703E-2</c:v>
                </c:pt>
                <c:pt idx="41">
                  <c:v>0.114314810374135</c:v>
                </c:pt>
                <c:pt idx="42">
                  <c:v>0.10602912374716464</c:v>
                </c:pt>
                <c:pt idx="43">
                  <c:v>0.1259667656310666</c:v>
                </c:pt>
                <c:pt idx="44">
                  <c:v>0.13576818693946657</c:v>
                </c:pt>
                <c:pt idx="45">
                  <c:v>0.14500017637882998</c:v>
                </c:pt>
                <c:pt idx="46">
                  <c:v>0.15957097605983087</c:v>
                </c:pt>
                <c:pt idx="47">
                  <c:v>0.17119626916090599</c:v>
                </c:pt>
                <c:pt idx="48">
                  <c:v>0.18821309799628672</c:v>
                </c:pt>
                <c:pt idx="49">
                  <c:v>0.20731250831075165</c:v>
                </c:pt>
                <c:pt idx="50">
                  <c:v>0.25465162617148229</c:v>
                </c:pt>
                <c:pt idx="51">
                  <c:v>0.3188382312419209</c:v>
                </c:pt>
                <c:pt idx="52">
                  <c:v>0.40172220902196309</c:v>
                </c:pt>
                <c:pt idx="53">
                  <c:v>0.51345955440662117</c:v>
                </c:pt>
                <c:pt idx="54">
                  <c:v>0.67583817218633147</c:v>
                </c:pt>
                <c:pt idx="55">
                  <c:v>0.9453105981346086</c:v>
                </c:pt>
                <c:pt idx="56">
                  <c:v>1.2971715313082501</c:v>
                </c:pt>
                <c:pt idx="57">
                  <c:v>1.7585900588755654</c:v>
                </c:pt>
                <c:pt idx="58">
                  <c:v>2.8560753855666854</c:v>
                </c:pt>
                <c:pt idx="59">
                  <c:v>4.7438619441476018</c:v>
                </c:pt>
                <c:pt idx="60">
                  <c:v>7.6216584276547659</c:v>
                </c:pt>
                <c:pt idx="61">
                  <c:v>14.715993611847908</c:v>
                </c:pt>
                <c:pt idx="62">
                  <c:v>22.800477865479738</c:v>
                </c:pt>
                <c:pt idx="63">
                  <c:v>31.465486539926747</c:v>
                </c:pt>
                <c:pt idx="64">
                  <c:v>44.782212150529546</c:v>
                </c:pt>
                <c:pt idx="65">
                  <c:v>58.998782362656534</c:v>
                </c:pt>
                <c:pt idx="66">
                  <c:v>74.303777541237352</c:v>
                </c:pt>
                <c:pt idx="67">
                  <c:v>102.61973513504789</c:v>
                </c:pt>
                <c:pt idx="68">
                  <c:v>132.28739599058966</c:v>
                </c:pt>
              </c:numCache>
            </c:numRef>
          </c:val>
          <c:extLst>
            <c:ext xmlns:c16="http://schemas.microsoft.com/office/drawing/2014/chart" uri="{C3380CC4-5D6E-409C-BE32-E72D297353CC}">
              <c16:uniqueId val="{00000008-757E-4E08-9DC1-F81A7753E1DD}"/>
            </c:ext>
          </c:extLst>
        </c:ser>
        <c:ser>
          <c:idx val="9"/>
          <c:order val="9"/>
          <c:tx>
            <c:strRef>
              <c:f>texts!$A$73</c:f>
              <c:strCache>
                <c:ptCount val="1"/>
                <c:pt idx="0">
                  <c:v>wind to 2018</c:v>
                </c:pt>
              </c:strCache>
            </c:strRef>
          </c:tx>
          <c:spPr>
            <a:solidFill>
              <a:srgbClr val="00B0F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data!$CN$4:$CN$156</c15:sqref>
                  </c15:fullRef>
                </c:ext>
              </c:extLst>
              <c:f>data!$CN$6:$CN$156</c:f>
              <c:numCache>
                <c:formatCode>General</c:formatCode>
                <c:ptCount val="151"/>
                <c:pt idx="28">
                  <c:v>6.7882517988867002E-4</c:v>
                </c:pt>
                <c:pt idx="29">
                  <c:v>1.35765035977734E-3</c:v>
                </c:pt>
                <c:pt idx="30">
                  <c:v>2.3758881296103446E-3</c:v>
                </c:pt>
                <c:pt idx="31">
                  <c:v>2.3758881296103446E-3</c:v>
                </c:pt>
                <c:pt idx="32">
                  <c:v>4.1860886093134644E-3</c:v>
                </c:pt>
                <c:pt idx="33">
                  <c:v>7.4206791634496413E-3</c:v>
                </c:pt>
                <c:pt idx="34">
                  <c:v>1.0127066017005776E-2</c:v>
                </c:pt>
                <c:pt idx="35">
                  <c:v>1.4531430062950112E-2</c:v>
                </c:pt>
                <c:pt idx="36">
                  <c:v>3.1414063703514628E-2</c:v>
                </c:pt>
                <c:pt idx="37">
                  <c:v>4.4208889821416221E-2</c:v>
                </c:pt>
                <c:pt idx="38">
                  <c:v>7.5028238670361749E-2</c:v>
                </c:pt>
                <c:pt idx="39">
                  <c:v>0.59957839699432958</c:v>
                </c:pt>
                <c:pt idx="40">
                  <c:v>0.82193748379846876</c:v>
                </c:pt>
                <c:pt idx="41">
                  <c:v>0.92471979787007985</c:v>
                </c:pt>
                <c:pt idx="42">
                  <c:v>1.0710078334505753</c:v>
                </c:pt>
                <c:pt idx="43">
                  <c:v>1.28921772625105</c:v>
                </c:pt>
                <c:pt idx="44">
                  <c:v>1.6117413776174061</c:v>
                </c:pt>
                <c:pt idx="45">
                  <c:v>1.8694672226176177</c:v>
                </c:pt>
                <c:pt idx="46">
                  <c:v>2.082771566410802</c:v>
                </c:pt>
                <c:pt idx="47">
                  <c:v>2.7193321423219672</c:v>
                </c:pt>
                <c:pt idx="48">
                  <c:v>3.6025841217823373</c:v>
                </c:pt>
                <c:pt idx="49">
                  <c:v>4.8006910455286391</c:v>
                </c:pt>
                <c:pt idx="50">
                  <c:v>7.1097743051394211</c:v>
                </c:pt>
                <c:pt idx="51">
                  <c:v>8.6869138224972229</c:v>
                </c:pt>
                <c:pt idx="52">
                  <c:v>11.841371446702651</c:v>
                </c:pt>
                <c:pt idx="53">
                  <c:v>14.236531448722426</c:v>
                </c:pt>
                <c:pt idx="54">
                  <c:v>19.259891011186888</c:v>
                </c:pt>
                <c:pt idx="55">
                  <c:v>23.552035301263576</c:v>
                </c:pt>
                <c:pt idx="56">
                  <c:v>30.062693560881229</c:v>
                </c:pt>
                <c:pt idx="57">
                  <c:v>38.621212370014767</c:v>
                </c:pt>
                <c:pt idx="58">
                  <c:v>49.909969531624988</c:v>
                </c:pt>
                <c:pt idx="59">
                  <c:v>62.440442848720885</c:v>
                </c:pt>
                <c:pt idx="60">
                  <c:v>77.298836576923392</c:v>
                </c:pt>
                <c:pt idx="61">
                  <c:v>98.833870841392425</c:v>
                </c:pt>
                <c:pt idx="62">
                  <c:v>118.52500300472055</c:v>
                </c:pt>
                <c:pt idx="63">
                  <c:v>146.01579067519384</c:v>
                </c:pt>
                <c:pt idx="64">
                  <c:v>161.11501497195493</c:v>
                </c:pt>
                <c:pt idx="65">
                  <c:v>188.12157921053341</c:v>
                </c:pt>
                <c:pt idx="66">
                  <c:v>216.5166181393198</c:v>
                </c:pt>
                <c:pt idx="67">
                  <c:v>255.23591133624603</c:v>
                </c:pt>
                <c:pt idx="68">
                  <c:v>287.35877601136218</c:v>
                </c:pt>
              </c:numCache>
            </c:numRef>
          </c:val>
          <c:extLst>
            <c:ext xmlns:c16="http://schemas.microsoft.com/office/drawing/2014/chart" uri="{C3380CC4-5D6E-409C-BE32-E72D297353CC}">
              <c16:uniqueId val="{00000009-757E-4E08-9DC1-F81A7753E1DD}"/>
            </c:ext>
          </c:extLst>
        </c:ser>
        <c:ser>
          <c:idx val="10"/>
          <c:order val="10"/>
          <c:tx>
            <c:strRef>
              <c:f>texts!$A$72</c:f>
              <c:strCache>
                <c:ptCount val="1"/>
                <c:pt idx="0">
                  <c:v>solar &amp; wind</c:v>
                </c:pt>
              </c:strCache>
            </c:strRef>
          </c:tx>
          <c:spPr>
            <a:solidFill>
              <a:srgbClr val="CC66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data!$CO$4:$CO$156</c15:sqref>
                  </c15:fullRef>
                </c:ext>
              </c:extLst>
              <c:f>data!$CO$6:$CO$156</c:f>
              <c:numCache>
                <c:formatCode>General</c:formatCode>
                <c:ptCount val="151"/>
                <c:pt idx="69" formatCode="0.00">
                  <c:v>481.34489995488235</c:v>
                </c:pt>
                <c:pt idx="70" formatCode="0.00">
                  <c:v>544.06061896767972</c:v>
                </c:pt>
                <c:pt idx="71" formatCode="0.00">
                  <c:v>652.8727427612157</c:v>
                </c:pt>
                <c:pt idx="72" formatCode="0.00">
                  <c:v>783.447291313459</c:v>
                </c:pt>
                <c:pt idx="73" formatCode="0.00">
                  <c:v>940.13674957615092</c:v>
                </c:pt>
                <c:pt idx="74" formatCode="0.00">
                  <c:v>1128.1640994913812</c:v>
                </c:pt>
                <c:pt idx="75" formatCode="0.00">
                  <c:v>1353.7969193896577</c:v>
                </c:pt>
                <c:pt idx="76" formatCode="0.00">
                  <c:v>1624.5563032675893</c:v>
                </c:pt>
                <c:pt idx="77" formatCode="0.00">
                  <c:v>1949.4675639211075</c:v>
                </c:pt>
                <c:pt idx="78" formatCode="0.00">
                  <c:v>2339.3610767053292</c:v>
                </c:pt>
                <c:pt idx="79" formatCode="0.00">
                  <c:v>2807.2332920463955</c:v>
                </c:pt>
                <c:pt idx="80" formatCode="0.00">
                  <c:v>3301.103029902863</c:v>
                </c:pt>
                <c:pt idx="81" formatCode="0.00">
                  <c:v>3802.2667258233942</c:v>
                </c:pt>
                <c:pt idx="82" formatCode="0.00">
                  <c:v>4310.7500248057768</c:v>
                </c:pt>
                <c:pt idx="83" formatCode="0.00">
                  <c:v>4826.5726497793512</c:v>
                </c:pt>
                <c:pt idx="84" formatCode="0.00">
                  <c:v>5349.7428818326962</c:v>
                </c:pt>
                <c:pt idx="85" formatCode="0.00">
                  <c:v>5880.2541466127705</c:v>
                </c:pt>
                <c:pt idx="86" formatCode="0.00">
                  <c:v>6418.0886147037809</c:v>
                </c:pt>
                <c:pt idx="87" formatCode="0.00">
                  <c:v>6963.2230556355817</c:v>
                </c:pt>
                <c:pt idx="88" formatCode="0.00">
                  <c:v>7515.6350773228187</c:v>
                </c:pt>
                <c:pt idx="89" formatCode="0.00">
                  <c:v>8075.3051217724578</c:v>
                </c:pt>
                <c:pt idx="90" formatCode="0.00">
                  <c:v>8642.2195638625217</c:v>
                </c:pt>
                <c:pt idx="91" formatCode="0.00">
                  <c:v>9216.3693921059112</c:v>
                </c:pt>
                <c:pt idx="92" formatCode="0.00">
                  <c:v>9797.7457495303315</c:v>
                </c:pt>
                <c:pt idx="93" formatCode="0.00">
                  <c:v>10386.33838186126</c:v>
                </c:pt>
                <c:pt idx="94" formatCode="0.00">
                  <c:v>10982.138652105787</c:v>
                </c:pt>
                <c:pt idx="95" formatCode="0.00">
                  <c:v>11585.139880074115</c:v>
                </c:pt>
                <c:pt idx="96" formatCode="0.00">
                  <c:v>12195.337118968075</c:v>
                </c:pt>
                <c:pt idx="97" formatCode="0.00">
                  <c:v>12812.726216640951</c:v>
                </c:pt>
                <c:pt idx="98" formatCode="0.00">
                  <c:v>13437.303827173877</c:v>
                </c:pt>
                <c:pt idx="99" formatCode="0.00">
                  <c:v>14069.068279618106</c:v>
                </c:pt>
                <c:pt idx="100" formatCode="0.00">
                  <c:v>14708.019783034246</c:v>
                </c:pt>
                <c:pt idx="101" formatCode="0.00">
                  <c:v>15354.15991749342</c:v>
                </c:pt>
                <c:pt idx="102" formatCode="0.00">
                  <c:v>16007.491159710089</c:v>
                </c:pt>
                <c:pt idx="103" formatCode="0.00">
                  <c:v>16568.252250093043</c:v>
                </c:pt>
                <c:pt idx="104" formatCode="0.00">
                  <c:v>16765.419537601007</c:v>
                </c:pt>
                <c:pt idx="105" formatCode="0.00">
                  <c:v>16962.565090558772</c:v>
                </c:pt>
                <c:pt idx="106" formatCode="0.00">
                  <c:v>17159.676240646557</c:v>
                </c:pt>
                <c:pt idx="107" formatCode="0.00">
                  <c:v>17356.751329747691</c:v>
                </c:pt>
                <c:pt idx="108" formatCode="0.00">
                  <c:v>17553.772502365064</c:v>
                </c:pt>
                <c:pt idx="109" formatCode="0.00">
                  <c:v>17769.538154127822</c:v>
                </c:pt>
                <c:pt idx="110" formatCode="0.00">
                  <c:v>17989.996376179879</c:v>
                </c:pt>
                <c:pt idx="111" formatCode="0.00">
                  <c:v>18210.355811921592</c:v>
                </c:pt>
                <c:pt idx="112" formatCode="0.00">
                  <c:v>18430.595373921878</c:v>
                </c:pt>
                <c:pt idx="113" formatCode="0.00">
                  <c:v>18650.663356822552</c:v>
                </c:pt>
                <c:pt idx="114" formatCode="0.00">
                  <c:v>18870.495254952108</c:v>
                </c:pt>
                <c:pt idx="115" formatCode="0.00">
                  <c:v>19090.043577934812</c:v>
                </c:pt>
                <c:pt idx="116" formatCode="0.00">
                  <c:v>19309.29706867383</c:v>
                </c:pt>
                <c:pt idx="117" formatCode="0.00">
                  <c:v>19528.264837065195</c:v>
                </c:pt>
                <c:pt idx="118" formatCode="0.00">
                  <c:v>19746.950979968413</c:v>
                </c:pt>
                <c:pt idx="119" formatCode="0.00">
                  <c:v>19965.367936436607</c:v>
                </c:pt>
                <c:pt idx="120" formatCode="0.00">
                  <c:v>20183.535809971214</c:v>
                </c:pt>
                <c:pt idx="121" formatCode="0.00">
                  <c:v>20295.515791308051</c:v>
                </c:pt>
                <c:pt idx="122" formatCode="0.00">
                  <c:v>20406.32014435601</c:v>
                </c:pt>
                <c:pt idx="123" formatCode="0.00">
                  <c:v>20516.029266017558</c:v>
                </c:pt>
                <c:pt idx="124" formatCode="0.00">
                  <c:v>20624.740777616695</c:v>
                </c:pt>
                <c:pt idx="125" formatCode="0.00">
                  <c:v>20732.540505743174</c:v>
                </c:pt>
                <c:pt idx="126" formatCode="0.00">
                  <c:v>20839.482536445721</c:v>
                </c:pt>
                <c:pt idx="127" formatCode="0.00">
                  <c:v>20945.608533557275</c:v>
                </c:pt>
                <c:pt idx="128" formatCode="0.00">
                  <c:v>21050.975291840488</c:v>
                </c:pt>
                <c:pt idx="129" formatCode="0.00">
                  <c:v>21155.639530810917</c:v>
                </c:pt>
                <c:pt idx="130" formatCode="0.00">
                  <c:v>21259.653908543165</c:v>
                </c:pt>
                <c:pt idx="131" formatCode="0.00">
                  <c:v>21363.048230367109</c:v>
                </c:pt>
                <c:pt idx="132" formatCode="0.00">
                  <c:v>21465.862112553878</c:v>
                </c:pt>
                <c:pt idx="133" formatCode="0.00">
                  <c:v>21568.164449308682</c:v>
                </c:pt>
                <c:pt idx="134" formatCode="0.00">
                  <c:v>21670.030590591312</c:v>
                </c:pt>
                <c:pt idx="135" formatCode="0.00">
                  <c:v>21771.514227297765</c:v>
                </c:pt>
                <c:pt idx="136" formatCode="0.00">
                  <c:v>21872.634017660792</c:v>
                </c:pt>
                <c:pt idx="137" formatCode="0.00">
                  <c:v>21973.375724151738</c:v>
                </c:pt>
                <c:pt idx="138" formatCode="0.00">
                  <c:v>22073.71081957491</c:v>
                </c:pt>
                <c:pt idx="139" formatCode="0.00">
                  <c:v>22173.592555667718</c:v>
                </c:pt>
                <c:pt idx="140" formatCode="0.00">
                  <c:v>22272.972847287525</c:v>
                </c:pt>
                <c:pt idx="141" formatCode="0.00">
                  <c:v>22371.808518177208</c:v>
                </c:pt>
                <c:pt idx="142" formatCode="0.00">
                  <c:v>22470.060085961457</c:v>
                </c:pt>
                <c:pt idx="143" formatCode="0.00">
                  <c:v>22567.685460806893</c:v>
                </c:pt>
                <c:pt idx="144" formatCode="0.00">
                  <c:v>22664.635014001899</c:v>
                </c:pt>
                <c:pt idx="145" formatCode="0.00">
                  <c:v>22760.846030209446</c:v>
                </c:pt>
                <c:pt idx="146" formatCode="0.00">
                  <c:v>22856.240249774382</c:v>
                </c:pt>
                <c:pt idx="147" formatCode="0.00">
                  <c:v>22950.723835024946</c:v>
                </c:pt>
                <c:pt idx="148" formatCode="0.00">
                  <c:v>23044.186641850789</c:v>
                </c:pt>
                <c:pt idx="149" formatCode="0.00">
                  <c:v>23136.501965857686</c:v>
                </c:pt>
                <c:pt idx="150" formatCode="0.00">
                  <c:v>23227.526663436285</c:v>
                </c:pt>
              </c:numCache>
            </c:numRef>
          </c:val>
          <c:extLst>
            <c:ext xmlns:c16="http://schemas.microsoft.com/office/drawing/2014/chart" uri="{C3380CC4-5D6E-409C-BE32-E72D297353CC}">
              <c16:uniqueId val="{0000000A-757E-4E08-9DC1-F81A7753E1DD}"/>
            </c:ext>
          </c:extLst>
        </c:ser>
        <c:dLbls>
          <c:showLegendKey val="0"/>
          <c:showVal val="0"/>
          <c:showCatName val="0"/>
          <c:showSerName val="0"/>
          <c:showPercent val="0"/>
          <c:showBubbleSize val="0"/>
        </c:dLbls>
        <c:axId val="334963096"/>
        <c:axId val="334963488"/>
      </c:areaChart>
      <c:catAx>
        <c:axId val="334963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34963488"/>
        <c:crosses val="autoZero"/>
        <c:auto val="0"/>
        <c:lblAlgn val="ctr"/>
        <c:lblOffset val="100"/>
        <c:tickLblSkip val="50"/>
        <c:tickMarkSkip val="50"/>
        <c:noMultiLvlLbl val="0"/>
      </c:catAx>
      <c:valAx>
        <c:axId val="334963488"/>
        <c:scaling>
          <c:orientation val="minMax"/>
        </c:scaling>
        <c:delete val="0"/>
        <c:axPos val="l"/>
        <c:majorGridlines>
          <c:spPr>
            <a:ln w="9525" cap="flat" cmpd="sng" algn="ctr">
              <a:solidFill>
                <a:schemeClr val="tx1">
                  <a:lumMod val="15000"/>
                  <a:lumOff val="85000"/>
                </a:schemeClr>
              </a:solidFill>
              <a:round/>
            </a:ln>
            <a:effectLst/>
          </c:spPr>
        </c:majorGridlines>
        <c:title>
          <c:tx>
            <c:strRef>
              <c:f>texts!$A$198</c:f>
              <c:strCache>
                <c:ptCount val="1"/>
                <c:pt idx="0">
                  <c:v>in Gtoe per year</c:v>
                </c:pt>
              </c:strCache>
            </c:strRef>
          </c:tx>
          <c:layout>
            <c:manualLayout>
              <c:xMode val="edge"/>
              <c:yMode val="edge"/>
              <c:x val="0"/>
              <c:y val="0.1187131729015800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34963096"/>
        <c:crosses val="autoZero"/>
        <c:crossBetween val="midCat"/>
        <c:dispUnits>
          <c:builtInUnit val="thousands"/>
        </c:dispUnits>
      </c:valAx>
      <c:spPr>
        <a:noFill/>
        <a:ln>
          <a:noFill/>
        </a:ln>
        <a:effectLst/>
      </c:spPr>
    </c:plotArea>
    <c:legend>
      <c:legendPos val="r"/>
      <c:layout>
        <c:manualLayout>
          <c:xMode val="edge"/>
          <c:yMode val="edge"/>
          <c:x val="0.7075886723806768"/>
          <c:y val="0"/>
          <c:w val="0.27310823826749675"/>
          <c:h val="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texts!$A$125</c:f>
          <c:strCache>
            <c:ptCount val="1"/>
            <c:pt idx="0">
              <c:v>CO2 emitted &amp; captured</c:v>
            </c:pt>
          </c:strCache>
        </c:strRef>
      </c:tx>
      <c:layout>
        <c:manualLayout>
          <c:xMode val="edge"/>
          <c:yMode val="edge"/>
          <c:x val="0.17351152799891745"/>
          <c:y val="5.736151402127365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8639145467393498"/>
          <c:y val="0.14423076923076922"/>
          <c:w val="0.74694187865939832"/>
          <c:h val="0.72123965273571577"/>
        </c:manualLayout>
      </c:layout>
      <c:areaChart>
        <c:grouping val="stacked"/>
        <c:varyColors val="0"/>
        <c:ser>
          <c:idx val="0"/>
          <c:order val="0"/>
          <c:tx>
            <c:strRef>
              <c:f>data!$CW$1:$CW$3</c:f>
              <c:strCache>
                <c:ptCount val="3"/>
                <c:pt idx="0">
                  <c:v>CO2 emissions</c:v>
                </c:pt>
                <c:pt idx="1">
                  <c:v>accumulated total CO2 emitted incl. LULUCF</c:v>
                </c:pt>
                <c:pt idx="2">
                  <c:v>GtCO2</c:v>
                </c:pt>
              </c:strCache>
            </c:strRef>
          </c:tx>
          <c:spPr>
            <a:solidFill>
              <a:schemeClr val="tx1"/>
            </a:solidFill>
            <a:ln w="25400">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extLst/>
            </c:numRef>
          </c:cat>
          <c:val>
            <c:numRef>
              <c:f>data!$CW$6:$CW$156</c:f>
              <c:numCache>
                <c:formatCode>General</c:formatCode>
                <c:ptCount val="151"/>
                <c:pt idx="15" formatCode="0.00">
                  <c:v>757.45163640546002</c:v>
                </c:pt>
                <c:pt idx="16" formatCode="0.00">
                  <c:v>774.08951906114112</c:v>
                </c:pt>
                <c:pt idx="17" formatCode="0.00">
                  <c:v>791.01998226008152</c:v>
                </c:pt>
                <c:pt idx="18" formatCode="0.00">
                  <c:v>808.59668207607751</c:v>
                </c:pt>
                <c:pt idx="19" formatCode="0.00">
                  <c:v>827.04979881255554</c:v>
                </c:pt>
                <c:pt idx="20" formatCode="0.00">
                  <c:v>846.55066145970727</c:v>
                </c:pt>
                <c:pt idx="21" formatCode="0.00">
                  <c:v>866.56052551854521</c:v>
                </c:pt>
                <c:pt idx="22" formatCode="0.00">
                  <c:v>887.17637640247153</c:v>
                </c:pt>
                <c:pt idx="23" formatCode="0.00">
                  <c:v>908.56417437253151</c:v>
                </c:pt>
                <c:pt idx="24" formatCode="0.00">
                  <c:v>929.75318419368136</c:v>
                </c:pt>
                <c:pt idx="25" formatCode="0.00">
                  <c:v>950.83739011546072</c:v>
                </c:pt>
                <c:pt idx="26" formatCode="0.00">
                  <c:v>972.7650779367109</c:v>
                </c:pt>
                <c:pt idx="27" formatCode="0.00">
                  <c:v>995.11538164613467</c:v>
                </c:pt>
                <c:pt idx="28" formatCode="0.00">
                  <c:v>1018.0003784093001</c:v>
                </c:pt>
                <c:pt idx="29" formatCode="0.00">
                  <c:v>1041.2915006545718</c:v>
                </c:pt>
                <c:pt idx="30" formatCode="0.00">
                  <c:v>1064.6590857238464</c:v>
                </c:pt>
                <c:pt idx="31" formatCode="0.00">
                  <c:v>1087.5626542722202</c:v>
                </c:pt>
                <c:pt idx="32" formatCode="0.00">
                  <c:v>1110.3825529476032</c:v>
                </c:pt>
                <c:pt idx="33" formatCode="0.00">
                  <c:v>1133.5363159502208</c:v>
                </c:pt>
                <c:pt idx="34" formatCode="0.00">
                  <c:v>1157.3803902084157</c:v>
                </c:pt>
                <c:pt idx="35" formatCode="0.00">
                  <c:v>1181.9900881321073</c:v>
                </c:pt>
                <c:pt idx="36" formatCode="0.00">
                  <c:v>1207.0168553820777</c:v>
                </c:pt>
                <c:pt idx="37" formatCode="0.00">
                  <c:v>1232.8429037756102</c:v>
                </c:pt>
                <c:pt idx="38" formatCode="0.00">
                  <c:v>1259.537102195306</c:v>
                </c:pt>
                <c:pt idx="39" formatCode="0.00">
                  <c:v>1286.6598106594708</c:v>
                </c:pt>
                <c:pt idx="40" formatCode="0.00">
                  <c:v>1314.1723487426625</c:v>
                </c:pt>
                <c:pt idx="41" formatCode="0.00">
                  <c:v>1342.1525621401474</c:v>
                </c:pt>
                <c:pt idx="42" formatCode="0.00">
                  <c:v>1369.4396128117778</c:v>
                </c:pt>
                <c:pt idx="43" formatCode="0.00">
                  <c:v>1396.968324243232</c:v>
                </c:pt>
                <c:pt idx="44" formatCode="0.00">
                  <c:v>1424.6360939623721</c:v>
                </c:pt>
                <c:pt idx="45" formatCode="0.00">
                  <c:v>1452.7435284473454</c:v>
                </c:pt>
                <c:pt idx="46" formatCode="0.00">
                  <c:v>1481.4833787513091</c:v>
                </c:pt>
                <c:pt idx="47" formatCode="0.00">
                  <c:v>1512.0917229267748</c:v>
                </c:pt>
                <c:pt idx="48" formatCode="0.00">
                  <c:v>1540.594031754043</c:v>
                </c:pt>
                <c:pt idx="49" formatCode="0.00">
                  <c:v>1569.3077645646727</c:v>
                </c:pt>
                <c:pt idx="50" formatCode="0.00">
                  <c:v>1599.3778056481169</c:v>
                </c:pt>
                <c:pt idx="51" formatCode="0.00">
                  <c:v>1629.4049785489321</c:v>
                </c:pt>
                <c:pt idx="52" formatCode="0.00">
                  <c:v>1660.6785588253153</c:v>
                </c:pt>
                <c:pt idx="53" formatCode="0.00">
                  <c:v>1693.4163401005674</c:v>
                </c:pt>
                <c:pt idx="54" formatCode="0.00">
                  <c:v>1727.2812173200768</c:v>
                </c:pt>
                <c:pt idx="55" formatCode="0.00">
                  <c:v>1761.6960054035133</c:v>
                </c:pt>
                <c:pt idx="56" formatCode="0.00">
                  <c:v>1797.2679035753661</c:v>
                </c:pt>
                <c:pt idx="57" formatCode="0.00">
                  <c:v>1833.0798434400979</c:v>
                </c:pt>
                <c:pt idx="58" formatCode="0.00">
                  <c:v>1869.8342334851147</c:v>
                </c:pt>
                <c:pt idx="59" formatCode="0.00">
                  <c:v>1906.8804227371215</c:v>
                </c:pt>
                <c:pt idx="60" formatCode="0.00">
                  <c:v>1945.1073799900657</c:v>
                </c:pt>
                <c:pt idx="61" formatCode="0.00">
                  <c:v>1984.2986972471058</c:v>
                </c:pt>
                <c:pt idx="62" formatCode="0.00">
                  <c:v>2024.4732191352737</c:v>
                </c:pt>
                <c:pt idx="63" formatCode="0.00">
                  <c:v>2064.9994511274172</c:v>
                </c:pt>
                <c:pt idx="64" formatCode="0.00">
                  <c:v>2106.3060408616711</c:v>
                </c:pt>
                <c:pt idx="65" formatCode="0.00">
                  <c:v>2147.7890360614956</c:v>
                </c:pt>
                <c:pt idx="66" formatCode="0.00">
                  <c:v>2188.8043822611121</c:v>
                </c:pt>
                <c:pt idx="67" formatCode="0.00">
                  <c:v>2230</c:v>
                </c:pt>
                <c:pt idx="68" formatCode="0.00">
                  <c:v>2272.10385157573</c:v>
                </c:pt>
                <c:pt idx="69" formatCode="0.00">
                  <c:v>2314.7365338111463</c:v>
                </c:pt>
                <c:pt idx="70" formatCode="0.00">
                  <c:v>2357.8440008298521</c:v>
                </c:pt>
                <c:pt idx="71" formatCode="0.00">
                  <c:v>2401.2864815048929</c:v>
                </c:pt>
                <c:pt idx="72" formatCode="0.00">
                  <c:v>2445.2843601554673</c:v>
                </c:pt>
                <c:pt idx="73" formatCode="0.00">
                  <c:v>2490.1756032312828</c:v>
                </c:pt>
                <c:pt idx="74" formatCode="0.00">
                  <c:v>2535.8427922234941</c:v>
                </c:pt>
                <c:pt idx="75" formatCode="0.00">
                  <c:v>2582.1465009423832</c:v>
                </c:pt>
                <c:pt idx="76" formatCode="0.00">
                  <c:v>2628.9208443899852</c:v>
                </c:pt>
                <c:pt idx="77" formatCode="0.00">
                  <c:v>2675.9685193883042</c:v>
                </c:pt>
                <c:pt idx="78" formatCode="0.00">
                  <c:v>2723.0552976448384</c:v>
                </c:pt>
                <c:pt idx="79" formatCode="0.00">
                  <c:v>2769.9028664276384</c:v>
                </c:pt>
                <c:pt idx="80" formatCode="0.00">
                  <c:v>2816.4121424256032</c:v>
                </c:pt>
                <c:pt idx="81" formatCode="0.00">
                  <c:v>2862.5484384750926</c:v>
                </c:pt>
                <c:pt idx="82" formatCode="0.00">
                  <c:v>2908.2762760351593</c:v>
                </c:pt>
                <c:pt idx="83" formatCode="0.00">
                  <c:v>2953.5585073239758</c:v>
                </c:pt>
                <c:pt idx="84" formatCode="0.00">
                  <c:v>2998.3557951724865</c:v>
                </c:pt>
                <c:pt idx="85" formatCode="0.00">
                  <c:v>3042.6272473326189</c:v>
                </c:pt>
                <c:pt idx="86" formatCode="0.00">
                  <c:v>3086.3314116158299</c:v>
                </c:pt>
                <c:pt idx="87" formatCode="0.00">
                  <c:v>3129.4273189645505</c:v>
                </c:pt>
                <c:pt idx="88" formatCode="0.00">
                  <c:v>3171.8748151006862</c:v>
                </c:pt>
                <c:pt idx="89" formatCode="0.00">
                  <c:v>3213.6350648523726</c:v>
                </c:pt>
                <c:pt idx="90" formatCode="0.00">
                  <c:v>3255.2010881524761</c:v>
                </c:pt>
                <c:pt idx="91" formatCode="0.00">
                  <c:v>3295.6175253623255</c:v>
                </c:pt>
                <c:pt idx="92" formatCode="0.00">
                  <c:v>3335.1526710036183</c:v>
                </c:pt>
                <c:pt idx="93" formatCode="0.00">
                  <c:v>3374.6959453388095</c:v>
                </c:pt>
                <c:pt idx="94" formatCode="0.00">
                  <c:v>3413.1603496876</c:v>
                </c:pt>
                <c:pt idx="95" formatCode="0.00">
                  <c:v>3450.6305449063952</c:v>
                </c:pt>
                <c:pt idx="96" formatCode="0.00">
                  <c:v>3487.072729781416</c:v>
                </c:pt>
                <c:pt idx="97" formatCode="0.00">
                  <c:v>3522.4457350655935</c:v>
                </c:pt>
                <c:pt idx="98" formatCode="0.00">
                  <c:v>3555.3409606984274</c:v>
                </c:pt>
                <c:pt idx="99" formatCode="0.00">
                  <c:v>3585.7104148451922</c:v>
                </c:pt>
                <c:pt idx="100" formatCode="0.00">
                  <c:v>3613.5084188587957</c:v>
                </c:pt>
                <c:pt idx="101" formatCode="0.00">
                  <c:v>3638.7772808676382</c:v>
                </c:pt>
                <c:pt idx="102" formatCode="0.00">
                  <c:v>3660.9835778706297</c:v>
                </c:pt>
                <c:pt idx="103" formatCode="0.00">
                  <c:v>3680.4384273639225</c:v>
                </c:pt>
                <c:pt idx="104" formatCode="0.00">
                  <c:v>3698.3864137994792</c:v>
                </c:pt>
                <c:pt idx="105" formatCode="0.00">
                  <c:v>3714.8236669296602</c:v>
                </c:pt>
                <c:pt idx="106" formatCode="0.00">
                  <c:v>3729.7482466183847</c:v>
                </c:pt>
                <c:pt idx="107" formatCode="0.00">
                  <c:v>3743.1602769688611</c:v>
                </c:pt>
                <c:pt idx="108" formatCode="0.00">
                  <c:v>3755.0620227781646</c:v>
                </c:pt>
                <c:pt idx="109" formatCode="0.00">
                  <c:v>3765.4579486661801</c:v>
                </c:pt>
                <c:pt idx="110" formatCode="0.00">
                  <c:v>3774.3547061200643</c:v>
                </c:pt>
                <c:pt idx="111" formatCode="0.00">
                  <c:v>3781.7610857407658</c:v>
                </c:pt>
                <c:pt idx="112" formatCode="0.00">
                  <c:v>3787.6879523131565</c:v>
                </c:pt>
                <c:pt idx="113" formatCode="0.00">
                  <c:v>3792.1482028211985</c:v>
                </c:pt>
                <c:pt idx="114" formatCode="0.00">
                  <c:v>3795.1568032393766</c:v>
                </c:pt>
                <c:pt idx="115" formatCode="0.00">
                  <c:v>3796.7308802145135</c:v>
                </c:pt>
                <c:pt idx="116" formatCode="0.00">
                  <c:v>3796.8898451957907</c:v>
                </c:pt>
                <c:pt idx="117" formatCode="0.00">
                  <c:v>3796.8898451957907</c:v>
                </c:pt>
                <c:pt idx="118" formatCode="0.00">
                  <c:v>3796.8898451957907</c:v>
                </c:pt>
                <c:pt idx="119" formatCode="0.00">
                  <c:v>3796.8898451957907</c:v>
                </c:pt>
                <c:pt idx="120" formatCode="0.00">
                  <c:v>3796.8898451957907</c:v>
                </c:pt>
                <c:pt idx="121" formatCode="0.00">
                  <c:v>3796.8898451957907</c:v>
                </c:pt>
                <c:pt idx="122" formatCode="0.00">
                  <c:v>3796.8898451957907</c:v>
                </c:pt>
                <c:pt idx="123" formatCode="0.00">
                  <c:v>3796.8898451957907</c:v>
                </c:pt>
                <c:pt idx="124" formatCode="0.00">
                  <c:v>3796.8898451957907</c:v>
                </c:pt>
                <c:pt idx="125" formatCode="0.00">
                  <c:v>3796.8898451957907</c:v>
                </c:pt>
                <c:pt idx="126" formatCode="0.00">
                  <c:v>3796.8898451957907</c:v>
                </c:pt>
                <c:pt idx="127" formatCode="0.00">
                  <c:v>3796.8898451957907</c:v>
                </c:pt>
                <c:pt idx="128" formatCode="0.00">
                  <c:v>3796.8898451957907</c:v>
                </c:pt>
                <c:pt idx="129" formatCode="0.00">
                  <c:v>3796.8898451957907</c:v>
                </c:pt>
                <c:pt idx="130" formatCode="0.00">
                  <c:v>3796.8898451957907</c:v>
                </c:pt>
                <c:pt idx="131" formatCode="0.00">
                  <c:v>3796.8898451957907</c:v>
                </c:pt>
                <c:pt idx="132" formatCode="0.00">
                  <c:v>3796.8898451957907</c:v>
                </c:pt>
                <c:pt idx="133" formatCode="0.00">
                  <c:v>3796.8898451957907</c:v>
                </c:pt>
                <c:pt idx="134" formatCode="0.00">
                  <c:v>3796.8898451957907</c:v>
                </c:pt>
                <c:pt idx="135" formatCode="0.00">
                  <c:v>3796.8898451957907</c:v>
                </c:pt>
                <c:pt idx="136" formatCode="0.00">
                  <c:v>3796.8898451957907</c:v>
                </c:pt>
                <c:pt idx="137" formatCode="0.00">
                  <c:v>3796.8898451957907</c:v>
                </c:pt>
                <c:pt idx="138" formatCode="0.00">
                  <c:v>3796.8898451957907</c:v>
                </c:pt>
                <c:pt idx="139" formatCode="0.00">
                  <c:v>3796.8898451957907</c:v>
                </c:pt>
                <c:pt idx="140" formatCode="0.00">
                  <c:v>3796.8898451957907</c:v>
                </c:pt>
                <c:pt idx="141" formatCode="0.00">
                  <c:v>3796.8898451957907</c:v>
                </c:pt>
                <c:pt idx="142" formatCode="0.00">
                  <c:v>3796.8898451957907</c:v>
                </c:pt>
                <c:pt idx="143" formatCode="0.00">
                  <c:v>3796.8898451957907</c:v>
                </c:pt>
                <c:pt idx="144" formatCode="0.00">
                  <c:v>3796.8898451957907</c:v>
                </c:pt>
                <c:pt idx="145" formatCode="0.00">
                  <c:v>3796.8898451957907</c:v>
                </c:pt>
                <c:pt idx="146" formatCode="0.00">
                  <c:v>3796.8898451957907</c:v>
                </c:pt>
                <c:pt idx="147" formatCode="0.00">
                  <c:v>3796.8898451957907</c:v>
                </c:pt>
                <c:pt idx="148" formatCode="0.00">
                  <c:v>3796.8898451957907</c:v>
                </c:pt>
                <c:pt idx="149" formatCode="0.00">
                  <c:v>3796.8898451957907</c:v>
                </c:pt>
                <c:pt idx="150" formatCode="0.00">
                  <c:v>3796.8898451957907</c:v>
                </c:pt>
              </c:numCache>
            </c:numRef>
          </c:val>
          <c:extLst>
            <c:ext xmlns:c16="http://schemas.microsoft.com/office/drawing/2014/chart" uri="{C3380CC4-5D6E-409C-BE32-E72D297353CC}">
              <c16:uniqueId val="{00000000-E354-43D0-B8E5-EC780BF1B843}"/>
            </c:ext>
          </c:extLst>
        </c:ser>
        <c:ser>
          <c:idx val="1"/>
          <c:order val="1"/>
          <c:tx>
            <c:strRef>
              <c:f>data!#REF!</c:f>
              <c:strCache>
                <c:ptCount val="1"/>
                <c:pt idx="0">
                  <c:v>#REF!</c:v>
                </c:pt>
              </c:strCache>
              <c:extLst xmlns:c15="http://schemas.microsoft.com/office/drawing/2012/chart"/>
            </c:strRef>
          </c:tx>
          <c:spPr>
            <a:solidFill>
              <a:schemeClr val="accent2"/>
            </a:solidFill>
            <a:ln w="25400">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extLst/>
            </c:numRef>
          </c:cat>
          <c:val>
            <c:numRef>
              <c:f>data!#REF!</c:f>
              <c:extLst xmlns:c15="http://schemas.microsoft.com/office/drawing/2012/chart"/>
            </c:numRef>
          </c:val>
          <c:extLst xmlns:c15="http://schemas.microsoft.com/office/drawing/2012/chart">
            <c:ext xmlns:c16="http://schemas.microsoft.com/office/drawing/2014/chart" uri="{C3380CC4-5D6E-409C-BE32-E72D297353CC}">
              <c16:uniqueId val="{00000001-E354-43D0-B8E5-EC780BF1B843}"/>
            </c:ext>
          </c:extLst>
        </c:ser>
        <c:ser>
          <c:idx val="2"/>
          <c:order val="2"/>
          <c:tx>
            <c:strRef>
              <c:f>data!$CY$1:$CY$3</c:f>
              <c:strCache>
                <c:ptCount val="3"/>
                <c:pt idx="0">
                  <c:v>CO2 emissions</c:v>
                </c:pt>
                <c:pt idx="1">
                  <c:v>accumulated CO2 captured by BECCS, DACCS, LULUCF</c:v>
                </c:pt>
                <c:pt idx="2">
                  <c:v>GtCO2</c:v>
                </c:pt>
              </c:strCache>
            </c:strRef>
          </c:tx>
          <c:spPr>
            <a:solidFill>
              <a:srgbClr val="00B050"/>
            </a:solidFill>
            <a:ln w="25400">
              <a:noFill/>
            </a:ln>
            <a:effectLst/>
          </c:spPr>
          <c:val>
            <c:numRef>
              <c:f>data!$CY$6:$CY$156</c:f>
              <c:numCache>
                <c:formatCode>0.00</c:formatCode>
                <c:ptCount val="1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-0.61368759924676852</c:v>
                </c:pt>
                <c:pt idx="70">
                  <c:v>-1.1422289782694519</c:v>
                </c:pt>
                <c:pt idx="71">
                  <c:v>-1.5790026828898247</c:v>
                </c:pt>
                <c:pt idx="72">
                  <c:v>-1.912336016223158</c:v>
                </c:pt>
                <c:pt idx="73">
                  <c:v>-2.5790026828898247</c:v>
                </c:pt>
                <c:pt idx="74">
                  <c:v>-3.5790026828898247</c:v>
                </c:pt>
                <c:pt idx="75">
                  <c:v>-4.9123360162231577</c:v>
                </c:pt>
                <c:pt idx="76">
                  <c:v>-6.5790026828898247</c:v>
                </c:pt>
                <c:pt idx="77">
                  <c:v>-8.5790026828898256</c:v>
                </c:pt>
                <c:pt idx="78">
                  <c:v>-10.91233601622316</c:v>
                </c:pt>
                <c:pt idx="79">
                  <c:v>-13.579002682889826</c:v>
                </c:pt>
                <c:pt idx="80">
                  <c:v>-16.579002682889826</c:v>
                </c:pt>
                <c:pt idx="81">
                  <c:v>-19.912336016223158</c:v>
                </c:pt>
                <c:pt idx="82">
                  <c:v>-23.579002682889826</c:v>
                </c:pt>
                <c:pt idx="83">
                  <c:v>-27.579002682889826</c:v>
                </c:pt>
                <c:pt idx="84">
                  <c:v>-31.912336016223158</c:v>
                </c:pt>
                <c:pt idx="85">
                  <c:v>-36.579002682889822</c:v>
                </c:pt>
                <c:pt idx="86">
                  <c:v>-41.579002682889822</c:v>
                </c:pt>
                <c:pt idx="87">
                  <c:v>-46.912336016223158</c:v>
                </c:pt>
                <c:pt idx="88">
                  <c:v>-52.579002682889822</c:v>
                </c:pt>
                <c:pt idx="89">
                  <c:v>-58.579002682889822</c:v>
                </c:pt>
                <c:pt idx="90">
                  <c:v>-64.912336016223151</c:v>
                </c:pt>
                <c:pt idx="91">
                  <c:v>-71.579002682889822</c:v>
                </c:pt>
                <c:pt idx="92">
                  <c:v>-78.579002682889822</c:v>
                </c:pt>
                <c:pt idx="93">
                  <c:v>-85.912336016223151</c:v>
                </c:pt>
                <c:pt idx="94">
                  <c:v>-93.579002682889822</c:v>
                </c:pt>
                <c:pt idx="95">
                  <c:v>-101.57900268288982</c:v>
                </c:pt>
                <c:pt idx="96">
                  <c:v>-109.91233601622315</c:v>
                </c:pt>
                <c:pt idx="97">
                  <c:v>-118.57900268288982</c:v>
                </c:pt>
                <c:pt idx="98">
                  <c:v>-127.57900268288982</c:v>
                </c:pt>
                <c:pt idx="99">
                  <c:v>-136.91233601622315</c:v>
                </c:pt>
                <c:pt idx="100">
                  <c:v>-146.57900268288981</c:v>
                </c:pt>
                <c:pt idx="101">
                  <c:v>-156.57900268288981</c:v>
                </c:pt>
                <c:pt idx="102">
                  <c:v>-166.57900268288981</c:v>
                </c:pt>
                <c:pt idx="103">
                  <c:v>-176.57900268288981</c:v>
                </c:pt>
                <c:pt idx="104">
                  <c:v>-186.57900268288981</c:v>
                </c:pt>
                <c:pt idx="105">
                  <c:v>-196.57900268288981</c:v>
                </c:pt>
                <c:pt idx="106">
                  <c:v>-206.57900268288981</c:v>
                </c:pt>
                <c:pt idx="107">
                  <c:v>-216.57900268288981</c:v>
                </c:pt>
                <c:pt idx="108">
                  <c:v>-226.57900268288981</c:v>
                </c:pt>
                <c:pt idx="109">
                  <c:v>-236.57900268288981</c:v>
                </c:pt>
                <c:pt idx="110">
                  <c:v>-246.57900268288981</c:v>
                </c:pt>
                <c:pt idx="111">
                  <c:v>-256.57900268288984</c:v>
                </c:pt>
                <c:pt idx="112">
                  <c:v>-266.57900268288984</c:v>
                </c:pt>
                <c:pt idx="113">
                  <c:v>-276.57900268288984</c:v>
                </c:pt>
                <c:pt idx="114">
                  <c:v>-286.57900268288984</c:v>
                </c:pt>
                <c:pt idx="115">
                  <c:v>-296.57900268288984</c:v>
                </c:pt>
                <c:pt idx="116">
                  <c:v>-306.57900268288984</c:v>
                </c:pt>
                <c:pt idx="117">
                  <c:v>-317.81338568558016</c:v>
                </c:pt>
                <c:pt idx="118">
                  <c:v>-330.41699635169465</c:v>
                </c:pt>
                <c:pt idx="119">
                  <c:v>-344.36332247666866</c:v>
                </c:pt>
                <c:pt idx="120">
                  <c:v>-359.6234308154169</c:v>
                </c:pt>
                <c:pt idx="121">
                  <c:v>-376.33159106720717</c:v>
                </c:pt>
                <c:pt idx="122">
                  <c:v>-394.45372350294224</c:v>
                </c:pt>
                <c:pt idx="123">
                  <c:v>-413.95325429146806</c:v>
                </c:pt>
                <c:pt idx="124">
                  <c:v>-434.79108767924879</c:v>
                </c:pt>
                <c:pt idx="125">
                  <c:v>-456.92562827724714</c:v>
                </c:pt>
                <c:pt idx="126">
                  <c:v>-480.31284284394712</c:v>
                </c:pt>
                <c:pt idx="127">
                  <c:v>-505.0293787933249</c:v>
                </c:pt>
                <c:pt idx="128">
                  <c:v>-530.06147768013011</c:v>
                </c:pt>
                <c:pt idx="129">
                  <c:v>-555.40828864864341</c:v>
                </c:pt>
                <c:pt idx="130">
                  <c:v>-581.06890441833593</c:v>
                </c:pt>
                <c:pt idx="131">
                  <c:v>-607.04239089369958</c:v>
                </c:pt>
                <c:pt idx="132">
                  <c:v>-633.32776561952301</c:v>
                </c:pt>
                <c:pt idx="133">
                  <c:v>-659.92395408341508</c:v>
                </c:pt>
                <c:pt idx="134">
                  <c:v>-686.82979001443653</c:v>
                </c:pt>
                <c:pt idx="135">
                  <c:v>-714.04404740891732</c:v>
                </c:pt>
                <c:pt idx="136">
                  <c:v>-741.56549112407504</c:v>
                </c:pt>
                <c:pt idx="137">
                  <c:v>-769.39291654484884</c:v>
                </c:pt>
                <c:pt idx="138">
                  <c:v>-797.52517357163708</c:v>
                </c:pt>
                <c:pt idx="139">
                  <c:v>-825.96120087034387</c:v>
                </c:pt>
                <c:pt idx="140">
                  <c:v>-854.70002964617959</c:v>
                </c:pt>
                <c:pt idx="141">
                  <c:v>-883.74076825649956</c:v>
                </c:pt>
                <c:pt idx="142">
                  <c:v>-913.08258248386255</c:v>
                </c:pt>
                <c:pt idx="143">
                  <c:v>-942.72469070679813</c:v>
                </c:pt>
                <c:pt idx="144">
                  <c:v>-972.66637453103431</c:v>
                </c:pt>
                <c:pt idx="145">
                  <c:v>-1002.9069916781883</c:v>
                </c:pt>
                <c:pt idx="146">
                  <c:v>-1033.4228226051168</c:v>
                </c:pt>
                <c:pt idx="147">
                  <c:v>-1064.11099858799</c:v>
                </c:pt>
                <c:pt idx="148">
                  <c:v>-1094.9712225275177</c:v>
                </c:pt>
                <c:pt idx="149">
                  <c:v>-1126.003304795888</c:v>
                </c:pt>
                <c:pt idx="150">
                  <c:v>-1157.2071733431978</c:v>
                </c:pt>
              </c:numCache>
            </c:numRef>
          </c:val>
          <c:extLst>
            <c:ext xmlns:c16="http://schemas.microsoft.com/office/drawing/2014/chart" uri="{C3380CC4-5D6E-409C-BE32-E72D297353CC}">
              <c16:uniqueId val="{00000000-CB41-4BAA-A2ED-76482B2C6E65}"/>
            </c:ext>
          </c:extLst>
        </c:ser>
        <c:dLbls>
          <c:showLegendKey val="0"/>
          <c:showVal val="0"/>
          <c:showCatName val="0"/>
          <c:showSerName val="0"/>
          <c:showPercent val="0"/>
          <c:showBubbleSize val="0"/>
        </c:dLbls>
        <c:axId val="407642192"/>
        <c:axId val="407647680"/>
        <c:extLst/>
      </c:areaChart>
      <c:catAx>
        <c:axId val="407642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crossAx val="407647680"/>
        <c:crosses val="autoZero"/>
        <c:auto val="1"/>
        <c:lblAlgn val="ctr"/>
        <c:lblOffset val="100"/>
        <c:tickLblSkip val="50"/>
        <c:tickMarkSkip val="50"/>
        <c:noMultiLvlLbl val="0"/>
      </c:catAx>
      <c:valAx>
        <c:axId val="4076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in Gt CO2</a:t>
                </a:r>
              </a:p>
            </c:rich>
          </c:tx>
          <c:layout>
            <c:manualLayout>
              <c:xMode val="edge"/>
              <c:yMode val="edge"/>
              <c:x val="4.0064102564102561E-3"/>
              <c:y val="0.127686755501716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crossAx val="407642192"/>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texts!$A$139</c:f>
          <c:strCache>
            <c:ptCount val="1"/>
            <c:pt idx="0">
              <c:v>specific vegetal productivity</c:v>
            </c:pt>
          </c:strCache>
        </c:strRef>
      </c:tx>
      <c:layout>
        <c:manualLayout>
          <c:xMode val="edge"/>
          <c:yMode val="edge"/>
          <c:x val="0.2290516396293836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24691602512778482"/>
          <c:y val="0.14404308836395452"/>
          <c:w val="0.68440071128747892"/>
          <c:h val="0.7037806211723534"/>
        </c:manualLayout>
      </c:layout>
      <c:scatterChart>
        <c:scatterStyle val="smoothMarker"/>
        <c:varyColors val="0"/>
        <c:ser>
          <c:idx val="0"/>
          <c:order val="0"/>
          <c:tx>
            <c:strRef>
              <c:f>data!$ER$1:$ER$3</c:f>
              <c:strCache>
                <c:ptCount val="3"/>
                <c:pt idx="0">
                  <c:v>agricultural productivity</c:v>
                </c:pt>
                <c:pt idx="1">
                  <c:v>specific vegetal primary productivity</c:v>
                </c:pt>
                <c:pt idx="2">
                  <c:v>kcal/(m^2 a)</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data!$ER$4:$ER$156</c:f>
              <c:numCache>
                <c:formatCode>0.00</c:formatCode>
                <c:ptCount val="153"/>
                <c:pt idx="13">
                  <c:v>267.02091437920836</c:v>
                </c:pt>
                <c:pt idx="14">
                  <c:v>279.69946574402621</c:v>
                </c:pt>
                <c:pt idx="15">
                  <c:v>283.47855799264636</c:v>
                </c:pt>
                <c:pt idx="16">
                  <c:v>299.65432444449499</c:v>
                </c:pt>
                <c:pt idx="17">
                  <c:v>299.79734846772374</c:v>
                </c:pt>
                <c:pt idx="18">
                  <c:v>319.99117426211774</c:v>
                </c:pt>
                <c:pt idx="19">
                  <c:v>331.08125249767608</c:v>
                </c:pt>
                <c:pt idx="20">
                  <c:v>338.14181053050794</c:v>
                </c:pt>
                <c:pt idx="21">
                  <c:v>334.95655427706333</c:v>
                </c:pt>
                <c:pt idx="22">
                  <c:v>346.94152290594127</c:v>
                </c:pt>
                <c:pt idx="23">
                  <c:v>369.31810964800775</c:v>
                </c:pt>
                <c:pt idx="24">
                  <c:v>359.19924624312961</c:v>
                </c:pt>
                <c:pt idx="25">
                  <c:v>387.8503765708935</c:v>
                </c:pt>
                <c:pt idx="26">
                  <c:v>378.75478366736917</c:v>
                </c:pt>
                <c:pt idx="27">
                  <c:v>389.32219089200436</c:v>
                </c:pt>
                <c:pt idx="28">
                  <c:v>407.49911826031263</c:v>
                </c:pt>
                <c:pt idx="29">
                  <c:v>413.44103521209536</c:v>
                </c:pt>
                <c:pt idx="30">
                  <c:v>440.97158034868045</c:v>
                </c:pt>
                <c:pt idx="31">
                  <c:v>435.06158528425556</c:v>
                </c:pt>
                <c:pt idx="32">
                  <c:v>428.93373143983302</c:v>
                </c:pt>
                <c:pt idx="33">
                  <c:v>453.32386165096233</c:v>
                </c:pt>
                <c:pt idx="34">
                  <c:v>467.31278437519285</c:v>
                </c:pt>
                <c:pt idx="35">
                  <c:v>446.92603064994785</c:v>
                </c:pt>
                <c:pt idx="36">
                  <c:v>482.06529652180456</c:v>
                </c:pt>
                <c:pt idx="37">
                  <c:v>486.43120313739723</c:v>
                </c:pt>
                <c:pt idx="38">
                  <c:v>486.70923306521718</c:v>
                </c:pt>
                <c:pt idx="39">
                  <c:v>479.65055536536676</c:v>
                </c:pt>
                <c:pt idx="40">
                  <c:v>469.3022151936932</c:v>
                </c:pt>
                <c:pt idx="41">
                  <c:v>503.46424048511727</c:v>
                </c:pt>
                <c:pt idx="42">
                  <c:v>521.14791342216688</c:v>
                </c:pt>
                <c:pt idx="43">
                  <c:v>508.31543506881616</c:v>
                </c:pt>
                <c:pt idx="44">
                  <c:v>529.5539763545421</c:v>
                </c:pt>
                <c:pt idx="45">
                  <c:v>516.46548402955216</c:v>
                </c:pt>
                <c:pt idx="46">
                  <c:v>534.69307093880093</c:v>
                </c:pt>
                <c:pt idx="47">
                  <c:v>528.13723949786754</c:v>
                </c:pt>
                <c:pt idx="48">
                  <c:v>565.65880464323072</c:v>
                </c:pt>
                <c:pt idx="49">
                  <c:v>571.93014068764967</c:v>
                </c:pt>
                <c:pt idx="50">
                  <c:v>577.14519717528742</c:v>
                </c:pt>
                <c:pt idx="51">
                  <c:v>581.5545459470618</c:v>
                </c:pt>
                <c:pt idx="52">
                  <c:v>579.84869605611482</c:v>
                </c:pt>
                <c:pt idx="53">
                  <c:v>592.29497766141435</c:v>
                </c:pt>
                <c:pt idx="54">
                  <c:v>584.80035860737667</c:v>
                </c:pt>
                <c:pt idx="55">
                  <c:v>601.10744258713999</c:v>
                </c:pt>
                <c:pt idx="56">
                  <c:v>645.3655236089088</c:v>
                </c:pt>
                <c:pt idx="57">
                  <c:v>645.78247166082451</c:v>
                </c:pt>
                <c:pt idx="58">
                  <c:v>645.25300947679727</c:v>
                </c:pt>
                <c:pt idx="59">
                  <c:v>673.1130018695543</c:v>
                </c:pt>
                <c:pt idx="60">
                  <c:v>715.60938596758888</c:v>
                </c:pt>
                <c:pt idx="61">
                  <c:v>706.93491162244311</c:v>
                </c:pt>
                <c:pt idx="62">
                  <c:v>715.96956468473547</c:v>
                </c:pt>
                <c:pt idx="63">
                  <c:v>742.73900609857992</c:v>
                </c:pt>
                <c:pt idx="64">
                  <c:v>730.04416252502085</c:v>
                </c:pt>
                <c:pt idx="65">
                  <c:v>785.75156273423079</c:v>
                </c:pt>
              </c:numCache>
            </c:numRef>
          </c:yVal>
          <c:smooth val="1"/>
          <c:extLst>
            <c:ext xmlns:c16="http://schemas.microsoft.com/office/drawing/2014/chart" uri="{C3380CC4-5D6E-409C-BE32-E72D297353CC}">
              <c16:uniqueId val="{00000000-8008-4F6D-B4DE-63FCA54337F9}"/>
            </c:ext>
          </c:extLst>
        </c:ser>
        <c:ser>
          <c:idx val="1"/>
          <c:order val="1"/>
          <c:tx>
            <c:strRef>
              <c:f>data!$ET$1:$ET$3</c:f>
              <c:strCache>
                <c:ptCount val="3"/>
                <c:pt idx="0">
                  <c:v>agricultural productivity</c:v>
                </c:pt>
                <c:pt idx="1">
                  <c:v>future specific vegetal primary productivity</c:v>
                </c:pt>
                <c:pt idx="2">
                  <c:v>kcal/(m^2 a)</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data!$ET$4:$ET$156</c:f>
              <c:numCache>
                <c:formatCode>0.00</c:formatCode>
                <c:ptCount val="153"/>
                <c:pt idx="65">
                  <c:v>785.75156273423079</c:v>
                </c:pt>
                <c:pt idx="66">
                  <c:v>795.72715212567357</c:v>
                </c:pt>
                <c:pt idx="67">
                  <c:v>805.70274151711635</c:v>
                </c:pt>
                <c:pt idx="68">
                  <c:v>815.67833090855913</c:v>
                </c:pt>
                <c:pt idx="69">
                  <c:v>825.65392030000191</c:v>
                </c:pt>
                <c:pt idx="70">
                  <c:v>835.6295096914447</c:v>
                </c:pt>
                <c:pt idx="71">
                  <c:v>845.60509908288748</c:v>
                </c:pt>
                <c:pt idx="72">
                  <c:v>855.58068847433026</c:v>
                </c:pt>
                <c:pt idx="73">
                  <c:v>865.55627786577304</c:v>
                </c:pt>
                <c:pt idx="74">
                  <c:v>875.53186725721582</c:v>
                </c:pt>
                <c:pt idx="75">
                  <c:v>885.5074566486586</c:v>
                </c:pt>
                <c:pt idx="76">
                  <c:v>895.48304604010139</c:v>
                </c:pt>
                <c:pt idx="77">
                  <c:v>905.45863543154417</c:v>
                </c:pt>
                <c:pt idx="78">
                  <c:v>915.43422482298695</c:v>
                </c:pt>
                <c:pt idx="79">
                  <c:v>925.40981421442973</c:v>
                </c:pt>
                <c:pt idx="80">
                  <c:v>935.38540360587251</c:v>
                </c:pt>
                <c:pt idx="81">
                  <c:v>945.36099299731529</c:v>
                </c:pt>
                <c:pt idx="82">
                  <c:v>955.33658238875807</c:v>
                </c:pt>
                <c:pt idx="83">
                  <c:v>965.31217178020086</c:v>
                </c:pt>
                <c:pt idx="84">
                  <c:v>975.28776117164364</c:v>
                </c:pt>
                <c:pt idx="85">
                  <c:v>985.26335056308642</c:v>
                </c:pt>
                <c:pt idx="86">
                  <c:v>995.2389399545292</c:v>
                </c:pt>
                <c:pt idx="87">
                  <c:v>1005.214529345972</c:v>
                </c:pt>
                <c:pt idx="88">
                  <c:v>1015.1901187374148</c:v>
                </c:pt>
                <c:pt idx="89">
                  <c:v>1025.1657081288574</c:v>
                </c:pt>
                <c:pt idx="90">
                  <c:v>1035.1412975203002</c:v>
                </c:pt>
                <c:pt idx="91">
                  <c:v>1045.116886911743</c:v>
                </c:pt>
                <c:pt idx="92">
                  <c:v>1055.0924763031858</c:v>
                </c:pt>
                <c:pt idx="93">
                  <c:v>1065.0680656946286</c:v>
                </c:pt>
                <c:pt idx="94">
                  <c:v>1075.0436550860713</c:v>
                </c:pt>
                <c:pt idx="95">
                  <c:v>1085.0192444775141</c:v>
                </c:pt>
                <c:pt idx="96">
                  <c:v>1094.9948338689569</c:v>
                </c:pt>
                <c:pt idx="97">
                  <c:v>1104.9704232603997</c:v>
                </c:pt>
                <c:pt idx="98">
                  <c:v>1114.9460126518425</c:v>
                </c:pt>
                <c:pt idx="99">
                  <c:v>1124.9216020432852</c:v>
                </c:pt>
                <c:pt idx="100">
                  <c:v>1134.897191434728</c:v>
                </c:pt>
                <c:pt idx="101">
                  <c:v>1144.8727808261708</c:v>
                </c:pt>
                <c:pt idx="102">
                  <c:v>1154.8483702176136</c:v>
                </c:pt>
                <c:pt idx="103">
                  <c:v>1164.8239596090564</c:v>
                </c:pt>
                <c:pt idx="104">
                  <c:v>1174.7995490004992</c:v>
                </c:pt>
                <c:pt idx="105">
                  <c:v>1184.7751383919419</c:v>
                </c:pt>
                <c:pt idx="106">
                  <c:v>1194.7507277833847</c:v>
                </c:pt>
                <c:pt idx="107">
                  <c:v>1204.7263171748275</c:v>
                </c:pt>
                <c:pt idx="108">
                  <c:v>1214.7019065662703</c:v>
                </c:pt>
                <c:pt idx="109">
                  <c:v>1224.6774959577131</c:v>
                </c:pt>
                <c:pt idx="110">
                  <c:v>1234.6530853491558</c:v>
                </c:pt>
                <c:pt idx="111">
                  <c:v>1244.6286747405986</c:v>
                </c:pt>
                <c:pt idx="112">
                  <c:v>1254.6042641320414</c:v>
                </c:pt>
                <c:pt idx="113">
                  <c:v>1264.5798535234842</c:v>
                </c:pt>
                <c:pt idx="114">
                  <c:v>1274.555442914927</c:v>
                </c:pt>
                <c:pt idx="115">
                  <c:v>1284.5310323063698</c:v>
                </c:pt>
                <c:pt idx="116">
                  <c:v>1294.5066216978125</c:v>
                </c:pt>
                <c:pt idx="117">
                  <c:v>1304.4822110892553</c:v>
                </c:pt>
                <c:pt idx="118">
                  <c:v>1314.4578004806981</c:v>
                </c:pt>
                <c:pt idx="119">
                  <c:v>1324.4333898721409</c:v>
                </c:pt>
                <c:pt idx="120">
                  <c:v>1334.4089792635837</c:v>
                </c:pt>
                <c:pt idx="121">
                  <c:v>1344.3845686550264</c:v>
                </c:pt>
                <c:pt idx="122">
                  <c:v>1354.3601580464692</c:v>
                </c:pt>
                <c:pt idx="123">
                  <c:v>1364.335747437912</c:v>
                </c:pt>
                <c:pt idx="124">
                  <c:v>1374.3113368293548</c:v>
                </c:pt>
                <c:pt idx="125">
                  <c:v>1384.2869262207976</c:v>
                </c:pt>
                <c:pt idx="126">
                  <c:v>1394.2625156122403</c:v>
                </c:pt>
                <c:pt idx="127">
                  <c:v>1404.2381050036831</c:v>
                </c:pt>
                <c:pt idx="128">
                  <c:v>1414.2136943951259</c:v>
                </c:pt>
                <c:pt idx="129">
                  <c:v>1424.1892837865687</c:v>
                </c:pt>
                <c:pt idx="130">
                  <c:v>1434.1648731780115</c:v>
                </c:pt>
                <c:pt idx="131">
                  <c:v>1444.1404625694543</c:v>
                </c:pt>
                <c:pt idx="132">
                  <c:v>1454.116051960897</c:v>
                </c:pt>
                <c:pt idx="133">
                  <c:v>1464.0916413523398</c:v>
                </c:pt>
                <c:pt idx="134">
                  <c:v>1474.0672307437826</c:v>
                </c:pt>
                <c:pt idx="135">
                  <c:v>1484.0428201352254</c:v>
                </c:pt>
                <c:pt idx="136">
                  <c:v>1494.0184095266682</c:v>
                </c:pt>
                <c:pt idx="137">
                  <c:v>1503.9939989181109</c:v>
                </c:pt>
                <c:pt idx="138">
                  <c:v>1513.9695883095537</c:v>
                </c:pt>
                <c:pt idx="139">
                  <c:v>1523.9451777009965</c:v>
                </c:pt>
                <c:pt idx="140">
                  <c:v>1533.9207670924393</c:v>
                </c:pt>
                <c:pt idx="141">
                  <c:v>1543.8963564838821</c:v>
                </c:pt>
                <c:pt idx="142">
                  <c:v>1553.8719458753249</c:v>
                </c:pt>
                <c:pt idx="143">
                  <c:v>1563.8475352667676</c:v>
                </c:pt>
                <c:pt idx="144">
                  <c:v>1573.8231246582104</c:v>
                </c:pt>
                <c:pt idx="145">
                  <c:v>1583.7987140496532</c:v>
                </c:pt>
                <c:pt idx="146">
                  <c:v>1593.774303441096</c:v>
                </c:pt>
                <c:pt idx="147">
                  <c:v>1603.7498928325388</c:v>
                </c:pt>
                <c:pt idx="148">
                  <c:v>1613.7254822239815</c:v>
                </c:pt>
                <c:pt idx="149">
                  <c:v>1623.7010716154243</c:v>
                </c:pt>
                <c:pt idx="150">
                  <c:v>1633.6766610068671</c:v>
                </c:pt>
                <c:pt idx="151">
                  <c:v>1643.6522503983099</c:v>
                </c:pt>
                <c:pt idx="152">
                  <c:v>1653.6278397897527</c:v>
                </c:pt>
              </c:numCache>
            </c:numRef>
          </c:yVal>
          <c:smooth val="1"/>
          <c:extLst>
            <c:ext xmlns:c16="http://schemas.microsoft.com/office/drawing/2014/chart" uri="{C3380CC4-5D6E-409C-BE32-E72D297353CC}">
              <c16:uniqueId val="{00000001-8008-4F6D-B4DE-63FCA54337F9}"/>
            </c:ext>
          </c:extLst>
        </c:ser>
        <c:dLbls>
          <c:showLegendKey val="0"/>
          <c:showVal val="0"/>
          <c:showCatName val="0"/>
          <c:showSerName val="0"/>
          <c:showPercent val="0"/>
          <c:showBubbleSize val="0"/>
        </c:dLbls>
        <c:axId val="407643368"/>
        <c:axId val="407643760"/>
      </c:scatterChart>
      <c:valAx>
        <c:axId val="407643368"/>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7643760"/>
        <c:crosses val="autoZero"/>
        <c:crossBetween val="midCat"/>
      </c:valAx>
      <c:valAx>
        <c:axId val="407643760"/>
        <c:scaling>
          <c:orientation val="minMax"/>
        </c:scaling>
        <c:delete val="0"/>
        <c:axPos val="l"/>
        <c:majorGridlines>
          <c:spPr>
            <a:ln w="9525" cap="flat" cmpd="sng" algn="ctr">
              <a:solidFill>
                <a:schemeClr val="tx1">
                  <a:lumMod val="15000"/>
                  <a:lumOff val="85000"/>
                </a:schemeClr>
              </a:solidFill>
              <a:round/>
            </a:ln>
            <a:effectLst/>
          </c:spPr>
        </c:majorGridlines>
        <c:title>
          <c:tx>
            <c:strRef>
              <c:f>texts!$A$138</c:f>
              <c:strCache>
                <c:ptCount val="1"/>
                <c:pt idx="0">
                  <c:v>in kcal/(m² a)</c:v>
                </c:pt>
              </c:strCache>
            </c:strRef>
          </c:tx>
          <c:layout>
            <c:manualLayout>
              <c:xMode val="edge"/>
              <c:yMode val="edge"/>
              <c:x val="4.00485501951815E-3"/>
              <c:y val="0.207765094352822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76433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texts!$A$148</c:f>
          <c:strCache>
            <c:ptCount val="1"/>
            <c:pt idx="0">
              <c:v>pasture per animal-based calories</c:v>
            </c:pt>
          </c:strCache>
        </c:strRef>
      </c:tx>
      <c:layout>
        <c:manualLayout>
          <c:xMode val="edge"/>
          <c:yMode val="edge"/>
          <c:x val="0.1683716732505011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7490526310478435"/>
          <c:y val="0.1478124781772916"/>
          <c:w val="0.75845394937043364"/>
          <c:h val="0.70790457068338031"/>
        </c:manualLayout>
      </c:layout>
      <c:scatterChart>
        <c:scatterStyle val="smoothMarker"/>
        <c:varyColors val="0"/>
        <c:ser>
          <c:idx val="0"/>
          <c:order val="0"/>
          <c:tx>
            <c:strRef>
              <c:f>data!$EW$1:$EW$3</c:f>
              <c:strCache>
                <c:ptCount val="3"/>
                <c:pt idx="0">
                  <c:v>agricultural productivity</c:v>
                </c:pt>
                <c:pt idx="1">
                  <c:v>land area pasture per animal primary production</c:v>
                </c:pt>
                <c:pt idx="2">
                  <c:v>m2*a/kcal</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data!$EW$4:$EW$156</c:f>
              <c:numCache>
                <c:formatCode>0.0000</c:formatCode>
                <c:ptCount val="153"/>
                <c:pt idx="13" formatCode="0.000000">
                  <c:v>6.1802023670131372E-2</c:v>
                </c:pt>
                <c:pt idx="14" formatCode="0.000000">
                  <c:v>6.003665225831132E-2</c:v>
                </c:pt>
                <c:pt idx="15" formatCode="0.000000">
                  <c:v>5.8845336236056298E-2</c:v>
                </c:pt>
                <c:pt idx="16" formatCode="0.000000">
                  <c:v>5.7543666647869328E-2</c:v>
                </c:pt>
                <c:pt idx="17" formatCode="0.000000">
                  <c:v>5.5390167214297729E-2</c:v>
                </c:pt>
                <c:pt idx="18" formatCode="0.000000">
                  <c:v>5.3805108326403658E-2</c:v>
                </c:pt>
                <c:pt idx="19" formatCode="0.000000">
                  <c:v>5.2027112278523358E-2</c:v>
                </c:pt>
                <c:pt idx="20" formatCode="0.000000">
                  <c:v>5.1029506587768302E-2</c:v>
                </c:pt>
                <c:pt idx="21" formatCode="0.000000">
                  <c:v>5.0936756915717217E-2</c:v>
                </c:pt>
                <c:pt idx="22" formatCode="0.000000">
                  <c:v>4.9432727628824877E-2</c:v>
                </c:pt>
                <c:pt idx="23" formatCode="0.000000">
                  <c:v>4.8301732158787004E-2</c:v>
                </c:pt>
                <c:pt idx="24" formatCode="0.000000">
                  <c:v>4.7621285196040912E-2</c:v>
                </c:pt>
                <c:pt idx="25" formatCode="0.000000">
                  <c:v>4.739790203719995E-2</c:v>
                </c:pt>
                <c:pt idx="26" formatCode="0.000000">
                  <c:v>4.583366399166957E-2</c:v>
                </c:pt>
                <c:pt idx="27" formatCode="0.000000">
                  <c:v>4.5531759322270091E-2</c:v>
                </c:pt>
                <c:pt idx="28" formatCode="0.000000">
                  <c:v>4.4573393987041819E-2</c:v>
                </c:pt>
                <c:pt idx="29" formatCode="0.000000">
                  <c:v>4.3351427537714073E-2</c:v>
                </c:pt>
                <c:pt idx="30" formatCode="0.000000">
                  <c:v>4.221063356708446E-2</c:v>
                </c:pt>
                <c:pt idx="31" formatCode="0.000000">
                  <c:v>4.1064743367007182E-2</c:v>
                </c:pt>
                <c:pt idx="32" formatCode="0.000000">
                  <c:v>4.0366991925638661E-2</c:v>
                </c:pt>
                <c:pt idx="33" formatCode="0.000000">
                  <c:v>3.9936229958357279E-2</c:v>
                </c:pt>
                <c:pt idx="34" formatCode="0.000000">
                  <c:v>3.9457291233456808E-2</c:v>
                </c:pt>
                <c:pt idx="35" formatCode="0.000000">
                  <c:v>3.8123678561027906E-2</c:v>
                </c:pt>
                <c:pt idx="36" formatCode="0.000000">
                  <c:v>3.7369627773954625E-2</c:v>
                </c:pt>
                <c:pt idx="37" formatCode="0.000000">
                  <c:v>3.6636051617223983E-2</c:v>
                </c:pt>
                <c:pt idx="38" formatCode="0.000000">
                  <c:v>3.5725736038997653E-2</c:v>
                </c:pt>
                <c:pt idx="39" formatCode="0.000000">
                  <c:v>3.5294070427714291E-2</c:v>
                </c:pt>
                <c:pt idx="40" formatCode="0.000000">
                  <c:v>3.4455327374408186E-2</c:v>
                </c:pt>
                <c:pt idx="41" formatCode="0.000000">
                  <c:v>3.4071650520123488E-2</c:v>
                </c:pt>
                <c:pt idx="42" formatCode="0.000000">
                  <c:v>3.3656683818787253E-2</c:v>
                </c:pt>
                <c:pt idx="43" formatCode="0.000000">
                  <c:v>3.3676357304561082E-2</c:v>
                </c:pt>
                <c:pt idx="44" formatCode="0.000000">
                  <c:v>3.4020956020201845E-2</c:v>
                </c:pt>
                <c:pt idx="45" formatCode="0.000000">
                  <c:v>3.3487091045328328E-2</c:v>
                </c:pt>
                <c:pt idx="46" formatCode="0.000000">
                  <c:v>3.2927639185466671E-2</c:v>
                </c:pt>
                <c:pt idx="47" formatCode="0.000000">
                  <c:v>3.2340092053928751E-2</c:v>
                </c:pt>
                <c:pt idx="48" formatCode="0.000000">
                  <c:v>3.1977484241880696E-2</c:v>
                </c:pt>
                <c:pt idx="49" formatCode="0.000000">
                  <c:v>3.175237838177096E-2</c:v>
                </c:pt>
                <c:pt idx="50" formatCode="0.000000">
                  <c:v>3.1168125442316046E-2</c:v>
                </c:pt>
                <c:pt idx="51" formatCode="0.000000">
                  <c:v>3.028793846788742E-2</c:v>
                </c:pt>
                <c:pt idx="52" formatCode="0.000000">
                  <c:v>2.9753229922063935E-2</c:v>
                </c:pt>
                <c:pt idx="53" formatCode="0.000000">
                  <c:v>2.9458619152521126E-2</c:v>
                </c:pt>
                <c:pt idx="54" formatCode="0.000000">
                  <c:v>2.8585886545315291E-2</c:v>
                </c:pt>
                <c:pt idx="55" formatCode="0.000000">
                  <c:v>2.790340967251909E-2</c:v>
                </c:pt>
                <c:pt idx="56" formatCode="0.000000">
                  <c:v>2.6985908069182621E-2</c:v>
                </c:pt>
                <c:pt idx="57" formatCode="0.000000">
                  <c:v>2.6421985909021419E-2</c:v>
                </c:pt>
                <c:pt idx="58" formatCode="0.000000">
                  <c:v>2.5872193618382472E-2</c:v>
                </c:pt>
                <c:pt idx="59" formatCode="0.000000">
                  <c:v>2.50554422285259E-2</c:v>
                </c:pt>
                <c:pt idx="60" formatCode="0.000000">
                  <c:v>2.4388432175944465E-2</c:v>
                </c:pt>
                <c:pt idx="61" formatCode="0.000000">
                  <c:v>2.4041438825393072E-2</c:v>
                </c:pt>
                <c:pt idx="62" formatCode="0.000000">
                  <c:v>2.3564740861755605E-2</c:v>
                </c:pt>
                <c:pt idx="63" formatCode="0.000000">
                  <c:v>2.2901780293517821E-2</c:v>
                </c:pt>
                <c:pt idx="64" formatCode="0.000000">
                  <c:v>2.2372398242670795E-2</c:v>
                </c:pt>
                <c:pt idx="65" formatCode="0.000000">
                  <c:v>2.1965059171402943E-2</c:v>
                </c:pt>
              </c:numCache>
            </c:numRef>
          </c:yVal>
          <c:smooth val="1"/>
          <c:extLst>
            <c:ext xmlns:c16="http://schemas.microsoft.com/office/drawing/2014/chart" uri="{C3380CC4-5D6E-409C-BE32-E72D297353CC}">
              <c16:uniqueId val="{00000000-8E4B-4A8D-8D1D-C87AE4179B50}"/>
            </c:ext>
          </c:extLst>
        </c:ser>
        <c:ser>
          <c:idx val="1"/>
          <c:order val="1"/>
          <c:tx>
            <c:strRef>
              <c:f>data!$EY$1:$EY$3</c:f>
              <c:strCache>
                <c:ptCount val="3"/>
                <c:pt idx="0">
                  <c:v>agricultural productivity</c:v>
                </c:pt>
                <c:pt idx="1">
                  <c:v>future land area pasture per animal primary production</c:v>
                </c:pt>
                <c:pt idx="2">
                  <c:v>m2*a/kcal</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data!$EY$4:$EY$156</c:f>
              <c:numCache>
                <c:formatCode>0.0000</c:formatCode>
                <c:ptCount val="153"/>
                <c:pt idx="65" formatCode="0.000000">
                  <c:v>2.1965059171402943E-2</c:v>
                </c:pt>
                <c:pt idx="66" formatCode="0.000000">
                  <c:v>2.1556718035428118E-2</c:v>
                </c:pt>
                <c:pt idx="67" formatCode="0.000000">
                  <c:v>2.1155968159828602E-2</c:v>
                </c:pt>
                <c:pt idx="68" formatCode="0.000000">
                  <c:v>2.0762668419380882E-2</c:v>
                </c:pt>
                <c:pt idx="69" formatCode="0.000000">
                  <c:v>2.0376680312447999E-2</c:v>
                </c:pt>
                <c:pt idx="70" formatCode="0.000000">
                  <c:v>1.999786791220581E-2</c:v>
                </c:pt>
                <c:pt idx="71" formatCode="0.000000">
                  <c:v>1.9626097818775962E-2</c:v>
                </c:pt>
                <c:pt idx="72" formatCode="0.000000">
                  <c:v>1.9261239112248741E-2</c:v>
                </c:pt>
                <c:pt idx="73" formatCode="0.000000">
                  <c:v>1.8903163306579238E-2</c:v>
                </c:pt>
                <c:pt idx="74" formatCode="0.000000">
                  <c:v>1.8551744304340641E-2</c:v>
                </c:pt>
                <c:pt idx="75" formatCode="0.000000">
                  <c:v>1.8206858352318639E-2</c:v>
                </c:pt>
                <c:pt idx="76" formatCode="0.000000">
                  <c:v>1.7868383997931381E-2</c:v>
                </c:pt>
                <c:pt idx="77" formatCode="0.000000">
                  <c:v>1.7536202046459608E-2</c:v>
                </c:pt>
                <c:pt idx="78" formatCode="0.000000">
                  <c:v>1.7210195519071863E-2</c:v>
                </c:pt>
                <c:pt idx="79" formatCode="0.000000">
                  <c:v>1.6890249611630093E-2</c:v>
                </c:pt>
                <c:pt idx="80" formatCode="0.000000">
                  <c:v>1.6576251654261021E-2</c:v>
                </c:pt>
                <c:pt idx="81" formatCode="0.000000">
                  <c:v>1.6268091071679119E-2</c:v>
                </c:pt>
                <c:pt idx="82" formatCode="0.000000">
                  <c:v>1.5965659344247214E-2</c:v>
                </c:pt>
                <c:pt idx="83" formatCode="0.000000">
                  <c:v>1.5668849969760992E-2</c:v>
                </c:pt>
                <c:pt idx="84" formatCode="0.000000">
                  <c:v>1.5377558425943922E-2</c:v>
                </c:pt>
                <c:pt idx="85" formatCode="0.000000">
                  <c:v>1.5091682133639442E-2</c:v>
                </c:pt>
                <c:pt idx="86" formatCode="0.000000">
                  <c:v>1.4811120420687423E-2</c:v>
                </c:pt>
                <c:pt idx="87" formatCode="0.000000">
                  <c:v>1.4535774486472161E-2</c:v>
                </c:pt>
                <c:pt idx="88" formatCode="0.000000">
                  <c:v>1.4265547367129473E-2</c:v>
                </c:pt>
                <c:pt idx="89" formatCode="0.000000">
                  <c:v>1.4000343901400579E-2</c:v>
                </c:pt>
                <c:pt idx="90" formatCode="0.000000">
                  <c:v>1.3740070697120795E-2</c:v>
                </c:pt>
                <c:pt idx="91" formatCode="0.000000">
                  <c:v>1.3484636098331212E-2</c:v>
                </c:pt>
                <c:pt idx="92" formatCode="0.000000">
                  <c:v>1.32339501530018E-2</c:v>
                </c:pt>
                <c:pt idx="93" formatCode="0.000000">
                  <c:v>1.2987924581354509E-2</c:v>
                </c:pt>
                <c:pt idx="94" formatCode="0.000000">
                  <c:v>1.2746472744775328E-2</c:v>
                </c:pt>
                <c:pt idx="95" formatCode="0.000000">
                  <c:v>1.2509509615304219E-2</c:v>
                </c:pt>
                <c:pt idx="96" formatCode="0.000000">
                  <c:v>1.2276951745692296E-2</c:v>
                </c:pt>
                <c:pt idx="97" formatCode="0.000000">
                  <c:v>1.2048717240015619E-2</c:v>
                </c:pt>
                <c:pt idx="98" formatCode="0.000000">
                  <c:v>1.1824725724835323E-2</c:v>
                </c:pt>
                <c:pt idx="99" formatCode="0.000000">
                  <c:v>1.1604898320893868E-2</c:v>
                </c:pt>
                <c:pt idx="100" formatCode="0.000000">
                  <c:v>1.1389157615337486E-2</c:v>
                </c:pt>
                <c:pt idx="101" formatCode="0.000000">
                  <c:v>1.1177427634455025E-2</c:v>
                </c:pt>
                <c:pt idx="102" formatCode="0.000000">
                  <c:v>1.0969633816923587E-2</c:v>
                </c:pt>
                <c:pt idx="103" formatCode="0.000000">
                  <c:v>1.0765702987551534E-2</c:v>
                </c:pt>
                <c:pt idx="104" formatCode="0.000000">
                  <c:v>1.0565563331509644E-2</c:v>
                </c:pt>
                <c:pt idx="105" formatCode="0.000000">
                  <c:v>1.0369144369041308E-2</c:v>
                </c:pt>
                <c:pt idx="106" formatCode="0.000000">
                  <c:v>1.0176376930642878E-2</c:v>
                </c:pt>
                <c:pt idx="107" formatCode="0.000000">
                  <c:v>9.9871931327054336E-3</c:v>
                </c:pt>
                <c:pt idx="108" formatCode="0.000000">
                  <c:v>9.8015263536093654E-3</c:v>
                </c:pt>
                <c:pt idx="109" formatCode="0.000000">
                  <c:v>9.6193112102633902E-3</c:v>
                </c:pt>
                <c:pt idx="110" formatCode="0.000000">
                  <c:v>9.4404835350796953E-3</c:v>
                </c:pt>
                <c:pt idx="111" formatCode="0.000000">
                  <c:v>9.2649803533771426E-3</c:v>
                </c:pt>
                <c:pt idx="112" formatCode="0.000000">
                  <c:v>9.0927398612045528E-3</c:v>
                </c:pt>
                <c:pt idx="113" formatCode="0.000000">
                  <c:v>8.9237014035762757E-3</c:v>
                </c:pt>
                <c:pt idx="114" formatCode="0.000000">
                  <c:v>8.7578054531123398E-3</c:v>
                </c:pt>
                <c:pt idx="115" formatCode="0.000000">
                  <c:v>8.5949935890757383E-3</c:v>
                </c:pt>
                <c:pt idx="116" formatCode="0.000000">
                  <c:v>8.4352084767993756E-3</c:v>
                </c:pt>
                <c:pt idx="117" formatCode="0.000000">
                  <c:v>8.2783938474955236E-3</c:v>
                </c:pt>
                <c:pt idx="118" formatCode="0.000000">
                  <c:v>8.1244944784405835E-3</c:v>
                </c:pt>
                <c:pt idx="119" formatCode="0.000000">
                  <c:v>7.9734561735282598E-3</c:v>
                </c:pt>
                <c:pt idx="120" formatCode="0.000000">
                  <c:v>7.8252257441842332E-3</c:v>
                </c:pt>
                <c:pt idx="121" formatCode="0.000000">
                  <c:v>7.6797509906356646E-3</c:v>
                </c:pt>
                <c:pt idx="122" formatCode="0.000000">
                  <c:v>7.5369806835288728E-3</c:v>
                </c:pt>
                <c:pt idx="123" formatCode="0.000000">
                  <c:v>7.3968645458888094E-3</c:v>
                </c:pt>
                <c:pt idx="124" formatCode="0.000000">
                  <c:v>7.259353235413827E-3</c:v>
                </c:pt>
                <c:pt idx="125" formatCode="0.000000">
                  <c:v>7.1243983270996847E-3</c:v>
                </c:pt>
                <c:pt idx="126" formatCode="0.000000">
                  <c:v>6.9919522961865276E-3</c:v>
                </c:pt>
                <c:pt idx="127" formatCode="0.000000">
                  <c:v>6.8619685014228975E-3</c:v>
                </c:pt>
                <c:pt idx="128" formatCode="0.000000">
                  <c:v>6.7344011686409078E-3</c:v>
                </c:pt>
                <c:pt idx="129" formatCode="0.000000">
                  <c:v>6.609205374636707E-3</c:v>
                </c:pt>
                <c:pt idx="130" formatCode="0.000000">
                  <c:v>6.4863370313506686E-3</c:v>
                </c:pt>
                <c:pt idx="131" formatCode="0.000000">
                  <c:v>6.3657528703416413E-3</c:v>
                </c:pt>
                <c:pt idx="132" formatCode="0.000000">
                  <c:v>6.2474104275498377E-3</c:v>
                </c:pt>
                <c:pt idx="133" formatCode="0.000000">
                  <c:v>6.1312680283430107E-3</c:v>
                </c:pt>
                <c:pt idx="134" formatCode="0.000000">
                  <c:v>6.0172847728405948E-3</c:v>
                </c:pt>
                <c:pt idx="135" formatCode="0.000000">
                  <c:v>5.9054205215107042E-3</c:v>
                </c:pt>
                <c:pt idx="136" formatCode="0.000000">
                  <c:v>5.7956358810348774E-3</c:v>
                </c:pt>
                <c:pt idx="137" formatCode="0.000000">
                  <c:v>5.6878921904356117E-3</c:v>
                </c:pt>
                <c:pt idx="138" formatCode="0.000000">
                  <c:v>5.5821515074617779E-3</c:v>
                </c:pt>
                <c:pt idx="139" formatCode="0.000000">
                  <c:v>5.4783765952271593E-3</c:v>
                </c:pt>
                <c:pt idx="140" formatCode="0.000000">
                  <c:v>5.3765309090973712E-3</c:v>
                </c:pt>
                <c:pt idx="141" formatCode="0.000000">
                  <c:v>5.2765785838205549E-3</c:v>
                </c:pt>
                <c:pt idx="142" formatCode="0.000000">
                  <c:v>5.1784844208973384E-3</c:v>
                </c:pt>
                <c:pt idx="143" formatCode="0.000000">
                  <c:v>5.0822138761855706E-3</c:v>
                </c:pt>
                <c:pt idx="144" formatCode="0.000000">
                  <c:v>4.9877330477355146E-3</c:v>
                </c:pt>
                <c:pt idx="145" formatCode="0.000000">
                  <c:v>4.8950086638511713E-3</c:v>
                </c:pt>
                <c:pt idx="146" formatCode="0.000000">
                  <c:v>4.8040080713735549E-3</c:v>
                </c:pt>
                <c:pt idx="147" formatCode="0.000000">
                  <c:v>4.7146992241817905E-3</c:v>
                </c:pt>
                <c:pt idx="148" formatCode="0.000000">
                  <c:v>4.6270506719079812E-3</c:v>
                </c:pt>
                <c:pt idx="149" formatCode="0.000000">
                  <c:v>4.5410315488618701E-3</c:v>
                </c:pt>
                <c:pt idx="150" formatCode="0.000000">
                  <c:v>4.4566115631614021E-3</c:v>
                </c:pt>
                <c:pt idx="151" formatCode="0.000000">
                  <c:v>4.3737609860653413E-3</c:v>
                </c:pt>
                <c:pt idx="152" formatCode="0.000000">
                  <c:v>4.2924506415042175E-3</c:v>
                </c:pt>
              </c:numCache>
            </c:numRef>
          </c:yVal>
          <c:smooth val="1"/>
          <c:extLst>
            <c:ext xmlns:c16="http://schemas.microsoft.com/office/drawing/2014/chart" uri="{C3380CC4-5D6E-409C-BE32-E72D297353CC}">
              <c16:uniqueId val="{00000001-8E4B-4A8D-8D1D-C87AE4179B50}"/>
            </c:ext>
          </c:extLst>
        </c:ser>
        <c:dLbls>
          <c:showLegendKey val="0"/>
          <c:showVal val="0"/>
          <c:showCatName val="0"/>
          <c:showSerName val="0"/>
          <c:showPercent val="0"/>
          <c:showBubbleSize val="0"/>
        </c:dLbls>
        <c:axId val="408583984"/>
        <c:axId val="408580456"/>
      </c:scatterChart>
      <c:valAx>
        <c:axId val="40858398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0456"/>
        <c:crosses val="autoZero"/>
        <c:crossBetween val="midCat"/>
      </c:valAx>
      <c:valAx>
        <c:axId val="408580456"/>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m²a/kcal</a:t>
                </a:r>
              </a:p>
            </c:rich>
          </c:tx>
          <c:layout>
            <c:manualLayout>
              <c:xMode val="edge"/>
              <c:yMode val="edge"/>
              <c:x val="0"/>
              <c:y val="0.1351381198122854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3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texts!$A$153</c:f>
          <c:strCache>
            <c:ptCount val="1"/>
            <c:pt idx="0">
              <c:v>feed per animal-based production</c:v>
            </c:pt>
          </c:strCache>
        </c:strRef>
      </c:tx>
      <c:layout>
        <c:manualLayout>
          <c:xMode val="edge"/>
          <c:yMode val="edge"/>
          <c:x val="0.1571643364934887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5760423972108556"/>
          <c:y val="0.1478124781772916"/>
          <c:w val="0.77575499376882595"/>
          <c:h val="0.70790457068338031"/>
        </c:manualLayout>
      </c:layout>
      <c:scatterChart>
        <c:scatterStyle val="smoothMarker"/>
        <c:varyColors val="0"/>
        <c:ser>
          <c:idx val="0"/>
          <c:order val="0"/>
          <c:tx>
            <c:strRef>
              <c:f>data!$FA$2</c:f>
              <c:strCache>
                <c:ptCount val="1"/>
                <c:pt idx="0">
                  <c:v>feed vegetal / animal-based primary production</c:v>
                </c:pt>
              </c:strCache>
            </c:strRef>
          </c:tx>
          <c:spPr>
            <a:ln w="28575" cap="rnd">
              <a:solidFill>
                <a:schemeClr val="accent1"/>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data!$FA$3:$FA$156</c:f>
              <c:numCache>
                <c:formatCode>General</c:formatCode>
                <c:ptCount val="154"/>
                <c:pt idx="0">
                  <c:v>0</c:v>
                </c:pt>
                <c:pt idx="14">
                  <c:v>1.8277759559019455</c:v>
                </c:pt>
                <c:pt idx="15">
                  <c:v>1.8710134654309356</c:v>
                </c:pt>
                <c:pt idx="16">
                  <c:v>1.9025552559727852</c:v>
                </c:pt>
                <c:pt idx="17">
                  <c:v>1.9582066171886612</c:v>
                </c:pt>
                <c:pt idx="18">
                  <c:v>2.0494374823319896</c:v>
                </c:pt>
                <c:pt idx="19">
                  <c:v>2.0774264867458783</c:v>
                </c:pt>
                <c:pt idx="20">
                  <c:v>2.0762294021055254</c:v>
                </c:pt>
                <c:pt idx="21">
                  <c:v>2.1445797306687968</c:v>
                </c:pt>
                <c:pt idx="22">
                  <c:v>2.2537117514556804</c:v>
                </c:pt>
                <c:pt idx="23">
                  <c:v>2.2830578923940377</c:v>
                </c:pt>
                <c:pt idx="24">
                  <c:v>2.3261586965938594</c:v>
                </c:pt>
                <c:pt idx="25">
                  <c:v>2.3690776518261023</c:v>
                </c:pt>
                <c:pt idx="26">
                  <c:v>2.4188733080962934</c:v>
                </c:pt>
                <c:pt idx="27">
                  <c:v>2.2249583280906489</c:v>
                </c:pt>
                <c:pt idx="28">
                  <c:v>2.2303102320454768</c:v>
                </c:pt>
                <c:pt idx="29">
                  <c:v>2.2693161579192793</c:v>
                </c:pt>
                <c:pt idx="30">
                  <c:v>2.336878684633144</c:v>
                </c:pt>
                <c:pt idx="31">
                  <c:v>2.4096386763704216</c:v>
                </c:pt>
                <c:pt idx="32">
                  <c:v>2.4166604591571335</c:v>
                </c:pt>
                <c:pt idx="33">
                  <c:v>2.3350083548818676</c:v>
                </c:pt>
                <c:pt idx="34">
                  <c:v>2.333963316525232</c:v>
                </c:pt>
                <c:pt idx="35">
                  <c:v>2.373283555912991</c:v>
                </c:pt>
                <c:pt idx="36">
                  <c:v>2.2620729096065921</c:v>
                </c:pt>
                <c:pt idx="37">
                  <c:v>2.3338799121155049</c:v>
                </c:pt>
                <c:pt idx="38">
                  <c:v>2.2684160850436048</c:v>
                </c:pt>
                <c:pt idx="39">
                  <c:v>2.2932797510788516</c:v>
                </c:pt>
                <c:pt idx="40">
                  <c:v>2.2817557490345739</c:v>
                </c:pt>
                <c:pt idx="41">
                  <c:v>2.1093109479475567</c:v>
                </c:pt>
                <c:pt idx="42">
                  <c:v>2.134830666071573</c:v>
                </c:pt>
                <c:pt idx="43">
                  <c:v>2.1580305907168826</c:v>
                </c:pt>
                <c:pt idx="44">
                  <c:v>2.1110682477030398</c:v>
                </c:pt>
                <c:pt idx="45">
                  <c:v>2.1646146575756378</c:v>
                </c:pt>
                <c:pt idx="46">
                  <c:v>2.1286094199838037</c:v>
                </c:pt>
                <c:pt idx="47">
                  <c:v>2.1158555657881717</c:v>
                </c:pt>
                <c:pt idx="48">
                  <c:v>2.0273965877925288</c:v>
                </c:pt>
                <c:pt idx="49">
                  <c:v>2.0986269496718499</c:v>
                </c:pt>
                <c:pt idx="50">
                  <c:v>2.0764095630913793</c:v>
                </c:pt>
                <c:pt idx="51">
                  <c:v>2.0290515465157042</c:v>
                </c:pt>
                <c:pt idx="52">
                  <c:v>1.9931043332230121</c:v>
                </c:pt>
                <c:pt idx="53">
                  <c:v>2.0127907658116295</c:v>
                </c:pt>
                <c:pt idx="54">
                  <c:v>2.0633111497619603</c:v>
                </c:pt>
                <c:pt idx="55">
                  <c:v>1.9830511219123976</c:v>
                </c:pt>
                <c:pt idx="56">
                  <c:v>1.9600797197355879</c:v>
                </c:pt>
                <c:pt idx="57">
                  <c:v>2.0482378330327911</c:v>
                </c:pt>
                <c:pt idx="58">
                  <c:v>1.9831498802138827</c:v>
                </c:pt>
                <c:pt idx="59">
                  <c:v>1.9027218296936934</c:v>
                </c:pt>
                <c:pt idx="60">
                  <c:v>1.8859050592204314</c:v>
                </c:pt>
                <c:pt idx="61">
                  <c:v>1.9578155089342784</c:v>
                </c:pt>
                <c:pt idx="62">
                  <c:v>1.8377880783625276</c:v>
                </c:pt>
                <c:pt idx="63">
                  <c:v>1.8206109638600958</c:v>
                </c:pt>
                <c:pt idx="64">
                  <c:v>1.881264100561467</c:v>
                </c:pt>
                <c:pt idx="65">
                  <c:v>1.8277739318542066</c:v>
                </c:pt>
                <c:pt idx="66">
                  <c:v>1.9725516277498922</c:v>
                </c:pt>
              </c:numCache>
            </c:numRef>
          </c:yVal>
          <c:smooth val="1"/>
          <c:extLst>
            <c:ext xmlns:c16="http://schemas.microsoft.com/office/drawing/2014/chart" uri="{C3380CC4-5D6E-409C-BE32-E72D297353CC}">
              <c16:uniqueId val="{00000000-49EF-4578-98DE-63C38ABCAA19}"/>
            </c:ext>
          </c:extLst>
        </c:ser>
        <c:ser>
          <c:idx val="1"/>
          <c:order val="1"/>
          <c:tx>
            <c:strRef>
              <c:f>data!$FC$2</c:f>
              <c:strCache>
                <c:ptCount val="1"/>
                <c:pt idx="0">
                  <c:v>future vegetal feed / animal-based primary production</c:v>
                </c:pt>
              </c:strCache>
            </c:strRef>
          </c:tx>
          <c:spPr>
            <a:ln w="28575" cap="rnd">
              <a:solidFill>
                <a:schemeClr val="accent2"/>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data!$FC$3:$FC$156</c:f>
              <c:numCache>
                <c:formatCode>General</c:formatCode>
                <c:ptCount val="154"/>
                <c:pt idx="0">
                  <c:v>0</c:v>
                </c:pt>
                <c:pt idx="67" formatCode="0.000000">
                  <c:v>1.8425634487141505</c:v>
                </c:pt>
                <c:pt idx="68" formatCode="0.000000">
                  <c:v>1.8332215864019037</c:v>
                </c:pt>
                <c:pt idx="69" formatCode="0.000000">
                  <c:v>1.8241344809581688</c:v>
                </c:pt>
                <c:pt idx="70" formatCode="0.000000">
                  <c:v>1.8152951850463346</c:v>
                </c:pt>
                <c:pt idx="71" formatCode="0.000000">
                  <c:v>1.8066969407868456</c:v>
                </c:pt>
                <c:pt idx="72" formatCode="0.000000">
                  <c:v>1.7983331745906197</c:v>
                </c:pt>
                <c:pt idx="73" formatCode="0.000000">
                  <c:v>1.7901974921333632</c:v>
                </c:pt>
                <c:pt idx="74" formatCode="0.000000">
                  <c:v>1.7822836734669376</c:v>
                </c:pt>
                <c:pt idx="75" formatCode="0.000000">
                  <c:v>1.7745856682640422</c:v>
                </c:pt>
                <c:pt idx="76" formatCode="0.000000">
                  <c:v>1.7670975911925755</c:v>
                </c:pt>
                <c:pt idx="77" formatCode="0.000000">
                  <c:v>1.7598137174161417</c:v>
                </c:pt>
                <c:pt idx="78" formatCode="0.000000">
                  <c:v>1.752728478217257</c:v>
                </c:pt>
                <c:pt idx="79" formatCode="0.000000">
                  <c:v>1.7458364567399181</c:v>
                </c:pt>
                <c:pt idx="80" formatCode="0.000000">
                  <c:v>1.7391323838482673</c:v>
                </c:pt>
                <c:pt idx="81" formatCode="0.000000">
                  <c:v>1.7326111340981987</c:v>
                </c:pt>
                <c:pt idx="82" formatCode="0.000000">
                  <c:v>1.7262677218188163</c:v>
                </c:pt>
                <c:pt idx="83" formatCode="0.000000">
                  <c:v>1.7200972973007558</c:v>
                </c:pt>
                <c:pt idx="84" formatCode="0.000000">
                  <c:v>1.714095143088451</c:v>
                </c:pt>
                <c:pt idx="85" formatCode="0.000000">
                  <c:v>1.7082566703735118</c:v>
                </c:pt>
                <c:pt idx="86" formatCode="0.000000">
                  <c:v>1.7025774154864568</c:v>
                </c:pt>
                <c:pt idx="87" formatCode="0.000000">
                  <c:v>1.6970530364841176</c:v>
                </c:pt>
                <c:pt idx="88" formatCode="0.000000">
                  <c:v>1.6916793098301079</c:v>
                </c:pt>
                <c:pt idx="89" formatCode="0.000000">
                  <c:v>1.6864521271658139</c:v>
                </c:pt>
                <c:pt idx="90" formatCode="0.000000">
                  <c:v>1.6813674921694459</c:v>
                </c:pt>
                <c:pt idx="91" formatCode="0.000000">
                  <c:v>1.6764215175007409</c:v>
                </c:pt>
                <c:pt idx="92" formatCode="0.000000">
                  <c:v>1.6716104218289873</c:v>
                </c:pt>
                <c:pt idx="93" formatCode="0.000000">
                  <c:v>1.6669305269420969</c:v>
                </c:pt>
                <c:pt idx="94" formatCode="0.000000">
                  <c:v>1.6623782549345099</c:v>
                </c:pt>
                <c:pt idx="95" formatCode="0.000000">
                  <c:v>1.6579501254717928</c:v>
                </c:pt>
                <c:pt idx="96" formatCode="0.000000">
                  <c:v>1.6536427531298277</c:v>
                </c:pt>
                <c:pt idx="97" formatCode="0.000000">
                  <c:v>1.6494528448065637</c:v>
                </c:pt>
                <c:pt idx="98" formatCode="0.000000">
                  <c:v>1.6453771972043543</c:v>
                </c:pt>
                <c:pt idx="99" formatCode="0.000000">
                  <c:v>1.6414126943809468</c:v>
                </c:pt>
                <c:pt idx="100" formatCode="0.000000">
                  <c:v>1.6375563053672637</c:v>
                </c:pt>
                <c:pt idx="101" formatCode="0.000000">
                  <c:v>1.6338050818501435</c:v>
                </c:pt>
                <c:pt idx="102" formatCode="0.000000">
                  <c:v>1.6301561559182762</c:v>
                </c:pt>
                <c:pt idx="103" formatCode="0.000000">
                  <c:v>1.6266067378696085</c:v>
                </c:pt>
                <c:pt idx="104" formatCode="0.000000">
                  <c:v>1.6231541140785413</c:v>
                </c:pt>
                <c:pt idx="105" formatCode="0.000000">
                  <c:v>1.6197956449212889</c:v>
                </c:pt>
                <c:pt idx="106" formatCode="0.000000">
                  <c:v>1.6165287627578175</c:v>
                </c:pt>
                <c:pt idx="107" formatCode="0.000000">
                  <c:v>1.613350969968814</c:v>
                </c:pt>
                <c:pt idx="108" formatCode="0.000000">
                  <c:v>1.6102598370461889</c:v>
                </c:pt>
                <c:pt idx="109" formatCode="0.000000">
                  <c:v>1.6072530007356527</c:v>
                </c:pt>
                <c:pt idx="110" formatCode="0.000000">
                  <c:v>1.6043281622299432</c:v>
                </c:pt>
                <c:pt idx="111" formatCode="0.000000">
                  <c:v>1.6014830854113271</c:v>
                </c:pt>
                <c:pt idx="112" formatCode="0.000000">
                  <c:v>1.5987155951420262</c:v>
                </c:pt>
                <c:pt idx="113" formatCode="0.000000">
                  <c:v>1.5960235756012671</c:v>
                </c:pt>
                <c:pt idx="114" formatCode="0.000000">
                  <c:v>1.5934049686676792</c:v>
                </c:pt>
                <c:pt idx="115" formatCode="0.000000">
                  <c:v>1.5908577723458053</c:v>
                </c:pt>
                <c:pt idx="116" formatCode="0.000000">
                  <c:v>1.5883800392355216</c:v>
                </c:pt>
                <c:pt idx="117" formatCode="0.000000">
                  <c:v>1.5859698750431996</c:v>
                </c:pt>
                <c:pt idx="118" formatCode="0.000000">
                  <c:v>1.5836254371334657</c:v>
                </c:pt>
                <c:pt idx="119" formatCode="0.000000">
                  <c:v>1.5813449331204583</c:v>
                </c:pt>
                <c:pt idx="120" formatCode="0.000000">
                  <c:v>1.5791266194974998</c:v>
                </c:pt>
                <c:pt idx="121" formatCode="0.000000">
                  <c:v>1.5769688003041393</c:v>
                </c:pt>
                <c:pt idx="122" formatCode="0.000000">
                  <c:v>1.5748698258295446</c:v>
                </c:pt>
                <c:pt idx="123" formatCode="0.000000">
                  <c:v>1.5728280913512549</c:v>
                </c:pt>
                <c:pt idx="124" formatCode="0.000000">
                  <c:v>1.5708420359083264</c:v>
                </c:pt>
                <c:pt idx="125" formatCode="0.000000">
                  <c:v>1.5689101411079356</c:v>
                </c:pt>
                <c:pt idx="126" formatCode="0.000000">
                  <c:v>1.5670309299645278</c:v>
                </c:pt>
                <c:pt idx="127" formatCode="0.000000">
                  <c:v>1.5652029657706217</c:v>
                </c:pt>
                <c:pt idx="128" formatCode="0.000000">
                  <c:v>1.5634248509984074</c:v>
                </c:pt>
                <c:pt idx="129" formatCode="0.000000">
                  <c:v>1.5616952262312995</c:v>
                </c:pt>
                <c:pt idx="130" formatCode="0.000000">
                  <c:v>1.5600127691246259</c:v>
                </c:pt>
                <c:pt idx="131" formatCode="0.000000">
                  <c:v>1.5583761933946603</c:v>
                </c:pt>
                <c:pt idx="132" formatCode="0.000000">
                  <c:v>1.5567842478352232</c:v>
                </c:pt>
                <c:pt idx="133" formatCode="0.000000">
                  <c:v>1.5552357153611009</c:v>
                </c:pt>
                <c:pt idx="134" formatCode="0.000000">
                  <c:v>1.5537294120775522</c:v>
                </c:pt>
                <c:pt idx="135" formatCode="0.000000">
                  <c:v>1.5522641863751883</c:v>
                </c:pt>
                <c:pt idx="136" formatCode="0.000000">
                  <c:v>1.5508389180495357</c:v>
                </c:pt>
                <c:pt idx="137" formatCode="0.000000">
                  <c:v>1.549452517444611</c:v>
                </c:pt>
                <c:pt idx="138" formatCode="0.000000">
                  <c:v>1.5481039246198494</c:v>
                </c:pt>
                <c:pt idx="139" formatCode="0.000000">
                  <c:v>1.5467921085397505</c:v>
                </c:pt>
                <c:pt idx="140" formatCode="0.000000">
                  <c:v>1.5455160662856255</c:v>
                </c:pt>
                <c:pt idx="141" formatCode="0.000000">
                  <c:v>1.5442748222888376</c:v>
                </c:pt>
                <c:pt idx="142" formatCode="0.000000">
                  <c:v>1.5430674275849541</c:v>
                </c:pt>
                <c:pt idx="143" formatCode="0.000000">
                  <c:v>1.5418929590882375</c:v>
                </c:pt>
                <c:pt idx="144" formatCode="0.000000">
                  <c:v>1.5407505188859223</c:v>
                </c:pt>
                <c:pt idx="145" formatCode="0.000000">
                  <c:v>1.5396392335517342</c:v>
                </c:pt>
                <c:pt idx="146" formatCode="0.000000">
                  <c:v>1.5385582534781355</c:v>
                </c:pt>
                <c:pt idx="147" formatCode="0.000000">
                  <c:v>1.5375067522267745</c:v>
                </c:pt>
                <c:pt idx="148" formatCode="0.000000">
                  <c:v>1.5364839258966527</c:v>
                </c:pt>
                <c:pt idx="149" formatCode="0.000000">
                  <c:v>1.535488992509521</c:v>
                </c:pt>
                <c:pt idx="150" formatCode="0.000000">
                  <c:v>1.5345211914120345</c:v>
                </c:pt>
                <c:pt idx="151" formatCode="0.000000">
                  <c:v>1.5335797826942146</c:v>
                </c:pt>
                <c:pt idx="152" formatCode="0.000000">
                  <c:v>1.5326640466237669</c:v>
                </c:pt>
                <c:pt idx="153" formatCode="0.000000">
                  <c:v>1.5317732830958266</c:v>
                </c:pt>
              </c:numCache>
            </c:numRef>
          </c:yVal>
          <c:smooth val="1"/>
          <c:extLst>
            <c:ext xmlns:c16="http://schemas.microsoft.com/office/drawing/2014/chart" uri="{C3380CC4-5D6E-409C-BE32-E72D297353CC}">
              <c16:uniqueId val="{00000001-49EF-4578-98DE-63C38ABCAA19}"/>
            </c:ext>
          </c:extLst>
        </c:ser>
        <c:dLbls>
          <c:showLegendKey val="0"/>
          <c:showVal val="0"/>
          <c:showCatName val="0"/>
          <c:showSerName val="0"/>
          <c:showPercent val="0"/>
          <c:showBubbleSize val="0"/>
        </c:dLbls>
        <c:axId val="408580064"/>
        <c:axId val="408582416"/>
      </c:scatterChart>
      <c:valAx>
        <c:axId val="40858006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2416"/>
        <c:crosses val="autoZero"/>
        <c:crossBetween val="midCat"/>
      </c:valAx>
      <c:valAx>
        <c:axId val="408582416"/>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kcal/kcal</a:t>
                </a:r>
              </a:p>
            </c:rich>
          </c:tx>
          <c:layout>
            <c:manualLayout>
              <c:xMode val="edge"/>
              <c:yMode val="edge"/>
              <c:x val="0"/>
              <c:y val="0.14644722247334313"/>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00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texts!$A$158</c:f>
          <c:strCache>
            <c:ptCount val="1"/>
            <c:pt idx="0">
              <c:v>food / animal-based production</c:v>
            </c:pt>
          </c:strCache>
        </c:strRef>
      </c:tx>
      <c:layout>
        <c:manualLayout>
          <c:xMode val="edge"/>
          <c:yMode val="edge"/>
          <c:x val="0.1567837671558371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7090040808526621"/>
          <c:y val="0.1478124781772916"/>
          <c:w val="0.76245880438995184"/>
          <c:h val="0.70790457068338031"/>
        </c:manualLayout>
      </c:layout>
      <c:scatterChart>
        <c:scatterStyle val="smoothMarker"/>
        <c:varyColors val="0"/>
        <c:ser>
          <c:idx val="0"/>
          <c:order val="0"/>
          <c:tx>
            <c:strRef>
              <c:f>data!$FE$1:$FE$2</c:f>
              <c:strCache>
                <c:ptCount val="2"/>
                <c:pt idx="0">
                  <c:v>agricultural productivity</c:v>
                </c:pt>
                <c:pt idx="1">
                  <c:v>animal based food / primary production</c:v>
                </c:pt>
              </c:strCache>
            </c:strRef>
          </c:tx>
          <c:spPr>
            <a:ln w="19050" cap="rnd">
              <a:solidFill>
                <a:schemeClr val="accent1"/>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data!$FE$3:$FE$156</c:f>
              <c:numCache>
                <c:formatCode>General</c:formatCode>
                <c:ptCount val="154"/>
                <c:pt idx="0">
                  <c:v>0</c:v>
                </c:pt>
                <c:pt idx="14">
                  <c:v>0.77637887611793377</c:v>
                </c:pt>
                <c:pt idx="15">
                  <c:v>0.77583940208981184</c:v>
                </c:pt>
                <c:pt idx="16">
                  <c:v>0.78873036319231382</c:v>
                </c:pt>
                <c:pt idx="17">
                  <c:v>0.7833658631330721</c:v>
                </c:pt>
                <c:pt idx="18">
                  <c:v>0.77310795601890969</c:v>
                </c:pt>
                <c:pt idx="19">
                  <c:v>0.77239822672900471</c:v>
                </c:pt>
                <c:pt idx="20">
                  <c:v>0.77127788223198823</c:v>
                </c:pt>
                <c:pt idx="21">
                  <c:v>0.77800909294590215</c:v>
                </c:pt>
                <c:pt idx="22">
                  <c:v>0.78543538126216761</c:v>
                </c:pt>
                <c:pt idx="23">
                  <c:v>0.78305669745693862</c:v>
                </c:pt>
                <c:pt idx="24">
                  <c:v>0.78320578231820248</c:v>
                </c:pt>
                <c:pt idx="25">
                  <c:v>0.79045266742891473</c:v>
                </c:pt>
                <c:pt idx="26">
                  <c:v>0.7904987977937511</c:v>
                </c:pt>
                <c:pt idx="27">
                  <c:v>0.78520530139820965</c:v>
                </c:pt>
                <c:pt idx="28">
                  <c:v>0.79016732793857636</c:v>
                </c:pt>
                <c:pt idx="29">
                  <c:v>0.79707044118647274</c:v>
                </c:pt>
                <c:pt idx="30">
                  <c:v>0.7872563972154043</c:v>
                </c:pt>
                <c:pt idx="31">
                  <c:v>0.79128190079567429</c:v>
                </c:pt>
                <c:pt idx="32">
                  <c:v>0.79750130854561918</c:v>
                </c:pt>
                <c:pt idx="33">
                  <c:v>0.80066536358834017</c:v>
                </c:pt>
                <c:pt idx="34">
                  <c:v>0.80105726191991056</c:v>
                </c:pt>
                <c:pt idx="35">
                  <c:v>0.79836481319618502</c:v>
                </c:pt>
                <c:pt idx="36">
                  <c:v>0.79548492730631326</c:v>
                </c:pt>
                <c:pt idx="37">
                  <c:v>0.79899784816053454</c:v>
                </c:pt>
                <c:pt idx="38">
                  <c:v>0.80963868121658933</c:v>
                </c:pt>
                <c:pt idx="39">
                  <c:v>0.80073472712914184</c:v>
                </c:pt>
                <c:pt idx="40">
                  <c:v>0.80876852015659639</c:v>
                </c:pt>
                <c:pt idx="41">
                  <c:v>0.80612748168527992</c:v>
                </c:pt>
                <c:pt idx="42">
                  <c:v>0.80878012043741365</c:v>
                </c:pt>
                <c:pt idx="43">
                  <c:v>0.80901950950931723</c:v>
                </c:pt>
                <c:pt idx="44">
                  <c:v>0.81093343979810584</c:v>
                </c:pt>
                <c:pt idx="45">
                  <c:v>0.8180542030157868</c:v>
                </c:pt>
                <c:pt idx="46">
                  <c:v>0.82236752802632751</c:v>
                </c:pt>
                <c:pt idx="47">
                  <c:v>0.82827584820483757</c:v>
                </c:pt>
                <c:pt idx="48">
                  <c:v>0.83646764301312593</c:v>
                </c:pt>
                <c:pt idx="49">
                  <c:v>0.83430097834524852</c:v>
                </c:pt>
                <c:pt idx="50">
                  <c:v>0.83795325769398332</c:v>
                </c:pt>
                <c:pt idx="51">
                  <c:v>0.8461260960673963</c:v>
                </c:pt>
                <c:pt idx="52">
                  <c:v>0.84558396288039206</c:v>
                </c:pt>
                <c:pt idx="53">
                  <c:v>0.84735723457471546</c:v>
                </c:pt>
                <c:pt idx="54">
                  <c:v>0.84796006429235637</c:v>
                </c:pt>
                <c:pt idx="55">
                  <c:v>0.84906461068584071</c:v>
                </c:pt>
                <c:pt idx="56">
                  <c:v>0.85396754881522186</c:v>
                </c:pt>
                <c:pt idx="57">
                  <c:v>0.85145767050683041</c:v>
                </c:pt>
                <c:pt idx="58">
                  <c:v>0.85140906872368738</c:v>
                </c:pt>
                <c:pt idx="59">
                  <c:v>0.85645660496994735</c:v>
                </c:pt>
                <c:pt idx="60">
                  <c:v>0.85819612237685572</c:v>
                </c:pt>
                <c:pt idx="61">
                  <c:v>0.85581908177788268</c:v>
                </c:pt>
                <c:pt idx="62">
                  <c:v>0.85911084824240513</c:v>
                </c:pt>
                <c:pt idx="63">
                  <c:v>0.86225989588030283</c:v>
                </c:pt>
                <c:pt idx="64">
                  <c:v>0.86090861220490666</c:v>
                </c:pt>
                <c:pt idx="65">
                  <c:v>0.86179015539766934</c:v>
                </c:pt>
                <c:pt idx="66">
                  <c:v>0.86094093462742249</c:v>
                </c:pt>
              </c:numCache>
            </c:numRef>
          </c:yVal>
          <c:smooth val="1"/>
          <c:extLst>
            <c:ext xmlns:c16="http://schemas.microsoft.com/office/drawing/2014/chart" uri="{C3380CC4-5D6E-409C-BE32-E72D297353CC}">
              <c16:uniqueId val="{00000000-5EB9-46EC-AB39-8BCBBC1CB4AA}"/>
            </c:ext>
          </c:extLst>
        </c:ser>
        <c:ser>
          <c:idx val="1"/>
          <c:order val="1"/>
          <c:tx>
            <c:strRef>
              <c:f>data!$FF$1:$FF$2</c:f>
              <c:strCache>
                <c:ptCount val="2"/>
                <c:pt idx="0">
                  <c:v>agricultural productivity</c:v>
                </c:pt>
                <c:pt idx="1">
                  <c:v>future animal based food / primary production</c:v>
                </c:pt>
              </c:strCache>
            </c:strRef>
          </c:tx>
          <c:spPr>
            <a:ln w="19050" cap="rnd">
              <a:solidFill>
                <a:schemeClr val="accent2"/>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data!$FF$3:$FF$156</c:f>
              <c:numCache>
                <c:formatCode>General</c:formatCode>
                <c:ptCount val="154"/>
                <c:pt idx="0">
                  <c:v>0</c:v>
                </c:pt>
                <c:pt idx="67">
                  <c:v>0.86201438379275075</c:v>
                </c:pt>
                <c:pt idx="68">
                  <c:v>0.86306434508480234</c:v>
                </c:pt>
                <c:pt idx="69">
                  <c:v>0.86409133243587022</c:v>
                </c:pt>
                <c:pt idx="70">
                  <c:v>0.86509584853302346</c:v>
                </c:pt>
                <c:pt idx="71">
                  <c:v>0.86607838506416046</c:v>
                </c:pt>
                <c:pt idx="72">
                  <c:v>0.86703942295867975</c:v>
                </c:pt>
                <c:pt idx="73">
                  <c:v>0.86797943262288346</c:v>
                </c:pt>
                <c:pt idx="74">
                  <c:v>0.86889887417023093</c:v>
                </c:pt>
                <c:pt idx="75">
                  <c:v>0.86979819764655375</c:v>
                </c:pt>
                <c:pt idx="76">
                  <c:v>0.87067784325034303</c:v>
                </c:pt>
                <c:pt idx="77">
                  <c:v>0.87153824154821635</c:v>
                </c:pt>
                <c:pt idx="78">
                  <c:v>0.87237981368567097</c:v>
                </c:pt>
                <c:pt idx="79">
                  <c:v>0.87320297159322424</c:v>
                </c:pt>
                <c:pt idx="80">
                  <c:v>0.8740081181880448</c:v>
                </c:pt>
                <c:pt idx="81">
                  <c:v>0.87479564757117145</c:v>
                </c:pt>
                <c:pt idx="82">
                  <c:v>0.87556594522041631</c:v>
                </c:pt>
                <c:pt idx="83">
                  <c:v>0.87631938817904775</c:v>
                </c:pt>
                <c:pt idx="84">
                  <c:v>0.87705634524034459</c:v>
                </c:pt>
                <c:pt idx="85">
                  <c:v>0.87777717712811187</c:v>
                </c:pt>
                <c:pt idx="86">
                  <c:v>0.8784822366732471</c:v>
                </c:pt>
                <c:pt idx="87">
                  <c:v>0.87917186898644295</c:v>
                </c:pt>
                <c:pt idx="88">
                  <c:v>0.87984641162711108</c:v>
                </c:pt>
                <c:pt idx="89">
                  <c:v>0.88050619476861025</c:v>
                </c:pt>
                <c:pt idx="90">
                  <c:v>0.88115154135985785</c:v>
                </c:pt>
                <c:pt idx="91">
                  <c:v>0.8817827672834071</c:v>
                </c:pt>
                <c:pt idx="92">
                  <c:v>0.8824001815100635</c:v>
                </c:pt>
                <c:pt idx="93">
                  <c:v>0.88300408625011984</c:v>
                </c:pt>
                <c:pt idx="94">
                  <c:v>0.88359477710128065</c:v>
                </c:pt>
                <c:pt idx="95">
                  <c:v>0.88417254319335103</c:v>
                </c:pt>
                <c:pt idx="96">
                  <c:v>0.88473766732975867</c:v>
                </c:pt>
                <c:pt idx="97">
                  <c:v>0.88529042612598052</c:v>
                </c:pt>
                <c:pt idx="98">
                  <c:v>0.88583109014493899</c:v>
                </c:pt>
                <c:pt idx="99">
                  <c:v>0.88635992402943675</c:v>
                </c:pt>
                <c:pt idx="100">
                  <c:v>0.88687718663169335</c:v>
                </c:pt>
                <c:pt idx="101">
                  <c:v>0.88738313114004763</c:v>
                </c:pt>
                <c:pt idx="102">
                  <c:v>0.88787800520288751</c:v>
                </c:pt>
                <c:pt idx="103">
                  <c:v>0.88836205104986832</c:v>
                </c:pt>
                <c:pt idx="104">
                  <c:v>0.88883550561047875</c:v>
                </c:pt>
                <c:pt idx="105">
                  <c:v>0.88929860063001254</c:v>
                </c:pt>
                <c:pt idx="106">
                  <c:v>0.8897515627830026</c:v>
                </c:pt>
                <c:pt idx="107">
                  <c:v>0.89019461378417264</c:v>
                </c:pt>
                <c:pt idx="108">
                  <c:v>0.89062797049696207</c:v>
                </c:pt>
                <c:pt idx="109">
                  <c:v>0.89105184503967549</c:v>
                </c:pt>
                <c:pt idx="110">
                  <c:v>0.89146644488930982</c:v>
                </c:pt>
                <c:pt idx="111">
                  <c:v>0.8918719729831095</c:v>
                </c:pt>
                <c:pt idx="112">
                  <c:v>0.89226862781789984</c:v>
                </c:pt>
                <c:pt idx="113">
                  <c:v>0.89265660354724663</c:v>
                </c:pt>
                <c:pt idx="114">
                  <c:v>0.89303609007648999</c:v>
                </c:pt>
                <c:pt idx="115">
                  <c:v>0.89340727315569879</c:v>
                </c:pt>
                <c:pt idx="116">
                  <c:v>0.89377033447059062</c:v>
                </c:pt>
                <c:pt idx="117">
                  <c:v>0.89412545173146363</c:v>
                </c:pt>
                <c:pt idx="118">
                  <c:v>0.89447279876018115</c:v>
                </c:pt>
                <c:pt idx="119">
                  <c:v>0.89481254557525369</c:v>
                </c:pt>
                <c:pt idx="120">
                  <c:v>0.89514485847505909</c:v>
                </c:pt>
                <c:pt idx="121">
                  <c:v>0.89546990011924199</c:v>
                </c:pt>
                <c:pt idx="122">
                  <c:v>0.89578782960833203</c:v>
                </c:pt>
                <c:pt idx="123">
                  <c:v>0.89609880256161956</c:v>
                </c:pt>
                <c:pt idx="124">
                  <c:v>0.89640297119332846</c:v>
                </c:pt>
                <c:pt idx="125">
                  <c:v>0.8967004843871208</c:v>
                </c:pt>
                <c:pt idx="126">
                  <c:v>0.89699148776897275</c:v>
                </c:pt>
                <c:pt idx="127">
                  <c:v>0.89727612377845456</c:v>
                </c:pt>
                <c:pt idx="128">
                  <c:v>0.8975545317384519</c:v>
                </c:pt>
                <c:pt idx="129">
                  <c:v>0.89782684792336132</c:v>
                </c:pt>
                <c:pt idx="130">
                  <c:v>0.89809320562579287</c:v>
                </c:pt>
                <c:pt idx="131">
                  <c:v>0.89835373522181472</c:v>
                </c:pt>
                <c:pt idx="132">
                  <c:v>0.89860856423476865</c:v>
                </c:pt>
                <c:pt idx="133">
                  <c:v>0.89885781739768988</c:v>
                </c:pt>
                <c:pt idx="134">
                  <c:v>0.89910161671436162</c:v>
                </c:pt>
                <c:pt idx="135">
                  <c:v>0.89934008151903222</c:v>
                </c:pt>
                <c:pt idx="136">
                  <c:v>0.89957332853482752</c:v>
                </c:pt>
                <c:pt idx="137">
                  <c:v>0.89980147193088367</c:v>
                </c:pt>
                <c:pt idx="138">
                  <c:v>0.90002462337823042</c:v>
                </c:pt>
                <c:pt idx="139">
                  <c:v>0.90024289210445163</c:v>
                </c:pt>
                <c:pt idx="140">
                  <c:v>0.90045638494714952</c:v>
                </c:pt>
                <c:pt idx="141">
                  <c:v>0.90066520640623959</c:v>
                </c:pt>
                <c:pt idx="142">
                  <c:v>0.9008694586951006</c:v>
                </c:pt>
                <c:pt idx="143">
                  <c:v>0.9010692417906061</c:v>
                </c:pt>
                <c:pt idx="144">
                  <c:v>0.90126465348206042</c:v>
                </c:pt>
                <c:pt idx="145">
                  <c:v>0.90145578941906457</c:v>
                </c:pt>
                <c:pt idx="146">
                  <c:v>0.90164274315833448</c:v>
                </c:pt>
                <c:pt idx="147">
                  <c:v>0.90182560620949515</c:v>
                </c:pt>
                <c:pt idx="148">
                  <c:v>0.90200446807987211</c:v>
                </c:pt>
                <c:pt idx="149">
                  <c:v>0.90217941631830334</c:v>
                </c:pt>
                <c:pt idx="150">
                  <c:v>0.9023505365579928</c:v>
                </c:pt>
                <c:pt idx="151">
                  <c:v>0.90251791255842562</c:v>
                </c:pt>
                <c:pt idx="152">
                  <c:v>0.90268162624636628</c:v>
                </c:pt>
                <c:pt idx="153">
                  <c:v>0.90284175775596065</c:v>
                </c:pt>
              </c:numCache>
            </c:numRef>
          </c:yVal>
          <c:smooth val="1"/>
          <c:extLst>
            <c:ext xmlns:c16="http://schemas.microsoft.com/office/drawing/2014/chart" uri="{C3380CC4-5D6E-409C-BE32-E72D297353CC}">
              <c16:uniqueId val="{00000001-5EB9-46EC-AB39-8BCBBC1CB4AA}"/>
            </c:ext>
          </c:extLst>
        </c:ser>
        <c:dLbls>
          <c:showLegendKey val="0"/>
          <c:showVal val="0"/>
          <c:showCatName val="0"/>
          <c:showSerName val="0"/>
          <c:showPercent val="0"/>
          <c:showBubbleSize val="0"/>
        </c:dLbls>
        <c:axId val="408581240"/>
        <c:axId val="408582024"/>
      </c:scatterChart>
      <c:valAx>
        <c:axId val="40858124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2024"/>
        <c:crosses val="autoZero"/>
        <c:crossBetween val="midCat"/>
      </c:valAx>
      <c:valAx>
        <c:axId val="408582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kcal/kcal</a:t>
                </a:r>
              </a:p>
            </c:rich>
          </c:tx>
          <c:layout>
            <c:manualLayout>
              <c:xMode val="edge"/>
              <c:yMode val="edge"/>
              <c:x val="0"/>
              <c:y val="0.1361347239958576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crossAx val="408581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texts!$A$163</c:f>
          <c:strCache>
            <c:ptCount val="1"/>
            <c:pt idx="0">
              <c:v>seed / vegetal primary production</c:v>
            </c:pt>
          </c:strCache>
        </c:strRef>
      </c:tx>
      <c:layout>
        <c:manualLayout>
          <c:xMode val="edge"/>
          <c:yMode val="edge"/>
          <c:x val="0.1728964768826973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8283994548758328"/>
          <c:y val="0.14447944006999125"/>
          <c:w val="0.74845011861498079"/>
          <c:h val="0.70334426946631667"/>
        </c:manualLayout>
      </c:layout>
      <c:scatterChart>
        <c:scatterStyle val="smoothMarker"/>
        <c:varyColors val="0"/>
        <c:ser>
          <c:idx val="0"/>
          <c:order val="0"/>
          <c:tx>
            <c:strRef>
              <c:f>data!$FH$1:$FH$3</c:f>
              <c:strCache>
                <c:ptCount val="3"/>
                <c:pt idx="0">
                  <c:v>agricultural productivity</c:v>
                </c:pt>
                <c:pt idx="1">
                  <c:v>seed vegetal /primary production vegetal</c:v>
                </c:pt>
                <c:pt idx="2">
                  <c:v>kcal/kcal</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data!$FH$4:$FH$156</c:f>
              <c:numCache>
                <c:formatCode>General</c:formatCode>
                <c:ptCount val="153"/>
                <c:pt idx="13">
                  <c:v>6.7835822944159158E-2</c:v>
                </c:pt>
                <c:pt idx="14">
                  <c:v>6.6323637794209897E-2</c:v>
                </c:pt>
                <c:pt idx="15">
                  <c:v>6.6426143012785543E-2</c:v>
                </c:pt>
                <c:pt idx="16">
                  <c:v>6.1808749699421642E-2</c:v>
                </c:pt>
                <c:pt idx="17">
                  <c:v>6.1119406234413018E-2</c:v>
                </c:pt>
                <c:pt idx="18">
                  <c:v>5.7383400281440386E-2</c:v>
                </c:pt>
                <c:pt idx="19">
                  <c:v>5.5507921405021768E-2</c:v>
                </c:pt>
                <c:pt idx="20">
                  <c:v>5.4381300771033828E-2</c:v>
                </c:pt>
                <c:pt idx="21">
                  <c:v>5.41441251234034E-2</c:v>
                </c:pt>
                <c:pt idx="22">
                  <c:v>5.3148850052386405E-2</c:v>
                </c:pt>
                <c:pt idx="23">
                  <c:v>5.0799380730954656E-2</c:v>
                </c:pt>
                <c:pt idx="24">
                  <c:v>5.2622277460785793E-2</c:v>
                </c:pt>
                <c:pt idx="25">
                  <c:v>4.8962324878066475E-2</c:v>
                </c:pt>
                <c:pt idx="26">
                  <c:v>5.0002188303340175E-2</c:v>
                </c:pt>
                <c:pt idx="27">
                  <c:v>5.1096312372185662E-2</c:v>
                </c:pt>
                <c:pt idx="28">
                  <c:v>4.8271066423020856E-2</c:v>
                </c:pt>
                <c:pt idx="29">
                  <c:v>4.8337540785420678E-2</c:v>
                </c:pt>
                <c:pt idx="30">
                  <c:v>4.4954787393218384E-2</c:v>
                </c:pt>
                <c:pt idx="31">
                  <c:v>4.5577657240859472E-2</c:v>
                </c:pt>
                <c:pt idx="32">
                  <c:v>4.6149498879982459E-2</c:v>
                </c:pt>
                <c:pt idx="33">
                  <c:v>4.3966994382904349E-2</c:v>
                </c:pt>
                <c:pt idx="34">
                  <c:v>4.1843562398399467E-2</c:v>
                </c:pt>
                <c:pt idx="35">
                  <c:v>4.4565413130172829E-2</c:v>
                </c:pt>
                <c:pt idx="36">
                  <c:v>4.0654303997391159E-2</c:v>
                </c:pt>
                <c:pt idx="37">
                  <c:v>3.9915133230365794E-2</c:v>
                </c:pt>
                <c:pt idx="38">
                  <c:v>3.906220714682488E-2</c:v>
                </c:pt>
                <c:pt idx="39">
                  <c:v>3.9549820096513026E-2</c:v>
                </c:pt>
                <c:pt idx="40">
                  <c:v>4.16906014121501E-2</c:v>
                </c:pt>
                <c:pt idx="41">
                  <c:v>3.8968703523472412E-2</c:v>
                </c:pt>
                <c:pt idx="42">
                  <c:v>3.5284698672062506E-2</c:v>
                </c:pt>
                <c:pt idx="43">
                  <c:v>3.6221558708970612E-2</c:v>
                </c:pt>
                <c:pt idx="44">
                  <c:v>3.6181470708167782E-2</c:v>
                </c:pt>
                <c:pt idx="45">
                  <c:v>3.663135033755241E-2</c:v>
                </c:pt>
                <c:pt idx="46">
                  <c:v>3.5768215204822131E-2</c:v>
                </c:pt>
                <c:pt idx="47">
                  <c:v>3.6820086552580435E-2</c:v>
                </c:pt>
                <c:pt idx="48">
                  <c:v>3.4869227006195033E-2</c:v>
                </c:pt>
                <c:pt idx="49">
                  <c:v>3.3572486472540949E-2</c:v>
                </c:pt>
                <c:pt idx="50">
                  <c:v>3.223824595478731E-2</c:v>
                </c:pt>
                <c:pt idx="51">
                  <c:v>3.1785023161945571E-2</c:v>
                </c:pt>
                <c:pt idx="52">
                  <c:v>3.1918683717303407E-2</c:v>
                </c:pt>
                <c:pt idx="53">
                  <c:v>3.1600489282830782E-2</c:v>
                </c:pt>
                <c:pt idx="54">
                  <c:v>3.1394129177647029E-2</c:v>
                </c:pt>
                <c:pt idx="55">
                  <c:v>3.143142571035535E-2</c:v>
                </c:pt>
                <c:pt idx="56">
                  <c:v>2.9481301219581046E-2</c:v>
                </c:pt>
                <c:pt idx="57">
                  <c:v>2.8774245882145385E-2</c:v>
                </c:pt>
                <c:pt idx="58">
                  <c:v>2.8841480734559406E-2</c:v>
                </c:pt>
                <c:pt idx="59">
                  <c:v>2.8100940694266788E-2</c:v>
                </c:pt>
                <c:pt idx="60">
                  <c:v>2.6527274284374625E-2</c:v>
                </c:pt>
                <c:pt idx="61">
                  <c:v>2.6850346970330036E-2</c:v>
                </c:pt>
                <c:pt idx="62">
                  <c:v>2.6463119834412567E-2</c:v>
                </c:pt>
                <c:pt idx="63">
                  <c:v>2.539943930860699E-2</c:v>
                </c:pt>
                <c:pt idx="64">
                  <c:v>2.6113202217605144E-2</c:v>
                </c:pt>
                <c:pt idx="65">
                  <c:v>2.4356019374659161E-2</c:v>
                </c:pt>
              </c:numCache>
            </c:numRef>
          </c:yVal>
          <c:smooth val="1"/>
          <c:extLst>
            <c:ext xmlns:c16="http://schemas.microsoft.com/office/drawing/2014/chart" uri="{C3380CC4-5D6E-409C-BE32-E72D297353CC}">
              <c16:uniqueId val="{00000000-A679-46E4-8AB5-1691B93954CF}"/>
            </c:ext>
          </c:extLst>
        </c:ser>
        <c:ser>
          <c:idx val="1"/>
          <c:order val="1"/>
          <c:tx>
            <c:strRef>
              <c:f>data!$FI$1:$FI$3</c:f>
              <c:strCache>
                <c:ptCount val="3"/>
                <c:pt idx="0">
                  <c:v>agricultural productivity</c:v>
                </c:pt>
                <c:pt idx="1">
                  <c:v>future seed vegetal /primary production vegetal</c:v>
                </c:pt>
                <c:pt idx="2">
                  <c:v>kcal/kcal</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data!$FI$4:$FI$156</c:f>
              <c:numCache>
                <c:formatCode>General</c:formatCode>
                <c:ptCount val="153"/>
                <c:pt idx="66">
                  <c:v>2.5619543337167643E-2</c:v>
                </c:pt>
                <c:pt idx="67">
                  <c:v>2.5278272902646701E-2</c:v>
                </c:pt>
                <c:pt idx="68">
                  <c:v>2.4945947905493412E-2</c:v>
                </c:pt>
                <c:pt idx="69">
                  <c:v>2.4622333866416275E-2</c:v>
                </c:pt>
                <c:pt idx="70">
                  <c:v>2.4307202452333955E-2</c:v>
                </c:pt>
                <c:pt idx="71">
                  <c:v>2.4000331315269803E-2</c:v>
                </c:pt>
                <c:pt idx="72">
                  <c:v>2.3701503935469305E-2</c:v>
                </c:pt>
                <c:pt idx="73">
                  <c:v>2.3410509468629749E-2</c:v>
                </c:pt>
                <c:pt idx="74">
                  <c:v>2.3127142597134345E-2</c:v>
                </c:pt>
                <c:pt idx="75">
                  <c:v>2.28512033851858E-2</c:v>
                </c:pt>
                <c:pt idx="76">
                  <c:v>2.258249713773719E-2</c:v>
                </c:pt>
                <c:pt idx="77">
                  <c:v>2.2320834263120513E-2</c:v>
                </c:pt>
                <c:pt idx="78">
                  <c:v>2.2066030139276112E-2</c:v>
                </c:pt>
                <c:pt idx="79">
                  <c:v>2.1817904983488439E-2</c:v>
                </c:pt>
                <c:pt idx="80">
                  <c:v>2.1576283725536376E-2</c:v>
                </c:pt>
                <c:pt idx="81">
                  <c:v>2.1340995884168545E-2</c:v>
                </c:pt>
                <c:pt idx="82">
                  <c:v>2.1111875446816485E-2</c:v>
                </c:pt>
                <c:pt idx="83">
                  <c:v>2.0888760752460767E-2</c:v>
                </c:pt>
                <c:pt idx="84">
                  <c:v>2.0671494377567483E-2</c:v>
                </c:pt>
                <c:pt idx="85">
                  <c:v>2.0459923025014572E-2</c:v>
                </c:pt>
                <c:pt idx="86">
                  <c:v>2.0253897415929617E-2</c:v>
                </c:pt>
                <c:pt idx="87">
                  <c:v>2.0053272184362838E-2</c:v>
                </c:pt>
                <c:pt idx="88">
                  <c:v>1.9857905774720873E-2</c:v>
                </c:pt>
                <c:pt idx="89">
                  <c:v>1.9667660341889135E-2</c:v>
                </c:pt>
                <c:pt idx="90">
                  <c:v>1.9482401653972078E-2</c:v>
                </c:pt>
                <c:pt idx="91">
                  <c:v>1.9301998997582927E-2</c:v>
                </c:pt>
                <c:pt idx="92">
                  <c:v>1.9126325085615934E-2</c:v>
                </c:pt>
                <c:pt idx="93">
                  <c:v>1.8955255967436125E-2</c:v>
                </c:pt>
                <c:pt idx="94">
                  <c:v>1.8788670941423179E-2</c:v>
                </c:pt>
                <c:pt idx="95">
                  <c:v>1.8626452469807715E-2</c:v>
                </c:pt>
                <c:pt idx="96">
                  <c:v>1.8468486095739908E-2</c:v>
                </c:pt>
                <c:pt idx="97">
                  <c:v>1.8314660362531897E-2</c:v>
                </c:pt>
                <c:pt idx="98">
                  <c:v>1.816486673501707E-2</c:v>
                </c:pt>
                <c:pt idx="99">
                  <c:v>1.8018999522970629E-2</c:v>
                </c:pt>
                <c:pt idx="100">
                  <c:v>1.7876955806537542E-2</c:v>
                </c:pt>
                <c:pt idx="101">
                  <c:v>1.7738635363615106E-2</c:v>
                </c:pt>
                <c:pt idx="102">
                  <c:v>1.7603940599139049E-2</c:v>
                </c:pt>
                <c:pt idx="103">
                  <c:v>1.7472776476223147E-2</c:v>
                </c:pt>
                <c:pt idx="104">
                  <c:v>1.7345050449103838E-2</c:v>
                </c:pt>
                <c:pt idx="105">
                  <c:v>1.7220672397842498E-2</c:v>
                </c:pt>
                <c:pt idx="106">
                  <c:v>1.7099554564739321E-2</c:v>
                </c:pt>
                <c:pt idx="107">
                  <c:v>1.6981611492413919E-2</c:v>
                </c:pt>
                <c:pt idx="108">
                  <c:v>1.6866759963508962E-2</c:v>
                </c:pt>
                <c:pt idx="109">
                  <c:v>1.6754918941974329E-2</c:v>
                </c:pt>
                <c:pt idx="110">
                  <c:v>1.6646009515890313E-2</c:v>
                </c:pt>
                <c:pt idx="111">
                  <c:v>1.6539954841789575E-2</c:v>
                </c:pt>
                <c:pt idx="112">
                  <c:v>1.6436680090438509E-2</c:v>
                </c:pt>
                <c:pt idx="113">
                  <c:v>1.6336112394039825E-2</c:v>
                </c:pt>
                <c:pt idx="114">
                  <c:v>1.6238180794819045E-2</c:v>
                </c:pt>
                <c:pt idx="115">
                  <c:v>1.6142816194958685E-2</c:v>
                </c:pt>
                <c:pt idx="116">
                  <c:v>1.6049951307844725E-2</c:v>
                </c:pt>
                <c:pt idx="117">
                  <c:v>1.5959520610591069E-2</c:v>
                </c:pt>
                <c:pt idx="118">
                  <c:v>1.58714602978084E-2</c:v>
                </c:pt>
                <c:pt idx="119">
                  <c:v>1.5785708236584879E-2</c:v>
                </c:pt>
                <c:pt idx="120">
                  <c:v>1.5702203922646877E-2</c:v>
                </c:pt>
                <c:pt idx="121">
                  <c:v>1.5620888437668847E-2</c:v>
                </c:pt>
                <c:pt idx="122">
                  <c:v>1.5541704407702184E-2</c:v>
                </c:pt>
                <c:pt idx="123">
                  <c:v>1.5464595962693766E-2</c:v>
                </c:pt>
                <c:pt idx="124">
                  <c:v>1.5389508697065592E-2</c:v>
                </c:pt>
                <c:pt idx="125">
                  <c:v>1.5316389631327714E-2</c:v>
                </c:pt>
                <c:pt idx="126">
                  <c:v>1.5245187174697382E-2</c:v>
                </c:pt>
                <c:pt idx="127">
                  <c:v>1.5175851088698027E-2</c:v>
                </c:pt>
                <c:pt idx="128">
                  <c:v>1.5108332451712373E-2</c:v>
                </c:pt>
                <c:pt idx="129">
                  <c:v>1.5042583624464711E-2</c:v>
                </c:pt>
                <c:pt idx="130">
                  <c:v>1.4978558216407954E-2</c:v>
                </c:pt>
                <c:pt idx="131">
                  <c:v>1.4916211052991736E-2</c:v>
                </c:pt>
                <c:pt idx="132">
                  <c:v>1.4855498143788528E-2</c:v>
                </c:pt>
                <c:pt idx="133">
                  <c:v>1.4796376651455192E-2</c:v>
                </c:pt>
                <c:pt idx="134">
                  <c:v>1.4738804861508154E-2</c:v>
                </c:pt>
                <c:pt idx="135">
                  <c:v>1.468274215289082E-2</c:v>
                </c:pt>
                <c:pt idx="136">
                  <c:v>1.4628148969312482E-2</c:v>
                </c:pt>
                <c:pt idx="137">
                  <c:v>1.45749867913385E-2</c:v>
                </c:pt>
                <c:pt idx="138">
                  <c:v>1.4523218109212062E-2</c:v>
                </c:pt>
                <c:pt idx="139">
                  <c:v>1.4472806396388337E-2</c:v>
                </c:pt>
                <c:pt idx="140">
                  <c:v>1.4423716083762356E-2</c:v>
                </c:pt>
                <c:pt idx="141">
                  <c:v>1.437591253457245E-2</c:v>
                </c:pt>
                <c:pt idx="142">
                  <c:v>1.4329362019961499E-2</c:v>
                </c:pt>
                <c:pt idx="143">
                  <c:v>1.4284031695178797E-2</c:v>
                </c:pt>
                <c:pt idx="144">
                  <c:v>1.4239889576405703E-2</c:v>
                </c:pt>
                <c:pt idx="145">
                  <c:v>1.4196904518188747E-2</c:v>
                </c:pt>
                <c:pt idx="146">
                  <c:v>1.4155046191464264E-2</c:v>
                </c:pt>
                <c:pt idx="147">
                  <c:v>1.4114285062159048E-2</c:v>
                </c:pt>
                <c:pt idx="148">
                  <c:v>1.4074592370351932E-2</c:v>
                </c:pt>
                <c:pt idx="149">
                  <c:v>1.403594010998158E-2</c:v>
                </c:pt>
                <c:pt idx="150">
                  <c:v>1.3998301009086198E-2</c:v>
                </c:pt>
                <c:pt idx="151">
                  <c:v>1.3961648510561182E-2</c:v>
                </c:pt>
                <c:pt idx="152">
                  <c:v>1.3925956753421172E-2</c:v>
                </c:pt>
              </c:numCache>
            </c:numRef>
          </c:yVal>
          <c:smooth val="1"/>
          <c:extLst>
            <c:ext xmlns:c16="http://schemas.microsoft.com/office/drawing/2014/chart" uri="{C3380CC4-5D6E-409C-BE32-E72D297353CC}">
              <c16:uniqueId val="{00000001-A679-46E4-8AB5-1691B93954CF}"/>
            </c:ext>
          </c:extLst>
        </c:ser>
        <c:dLbls>
          <c:showLegendKey val="0"/>
          <c:showVal val="0"/>
          <c:showCatName val="0"/>
          <c:showSerName val="0"/>
          <c:showPercent val="0"/>
          <c:showBubbleSize val="0"/>
        </c:dLbls>
        <c:axId val="408579280"/>
        <c:axId val="408581632"/>
      </c:scatterChart>
      <c:valAx>
        <c:axId val="40857928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581632"/>
        <c:crosses val="autoZero"/>
        <c:crossBetween val="midCat"/>
      </c:valAx>
      <c:valAx>
        <c:axId val="408581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kcal/kcal</a:t>
                </a:r>
              </a:p>
            </c:rich>
          </c:tx>
          <c:layout>
            <c:manualLayout>
              <c:xMode val="edge"/>
              <c:yMode val="edge"/>
              <c:x val="0"/>
              <c:y val="0.1449710192475940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5792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texts!$A$165</c:f>
          <c:strCache>
            <c:ptCount val="1"/>
            <c:pt idx="0">
              <c:v>loss / vegetal primary production</c:v>
            </c:pt>
          </c:strCache>
        </c:strRef>
      </c:tx>
      <c:layout>
        <c:manualLayout>
          <c:xMode val="edge"/>
          <c:yMode val="edge"/>
          <c:x val="0.200941348677569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21149492731677771"/>
          <c:y val="0.13951388888888888"/>
          <c:w val="0.71979513678578644"/>
          <c:h val="0.7083098206474191"/>
        </c:manualLayout>
      </c:layout>
      <c:scatterChart>
        <c:scatterStyle val="smoothMarker"/>
        <c:varyColors val="0"/>
        <c:ser>
          <c:idx val="0"/>
          <c:order val="0"/>
          <c:tx>
            <c:strRef>
              <c:f>data!$FK$1:$FK$4</c:f>
              <c:strCache>
                <c:ptCount val="4"/>
                <c:pt idx="0">
                  <c:v>agricultural productivity</c:v>
                </c:pt>
                <c:pt idx="1">
                  <c:v>losses vegetal / primary production vegetal</c:v>
                </c:pt>
                <c:pt idx="2">
                  <c:v>kcal/kcal</c:v>
                </c:pt>
                <c:pt idx="3">
                  <c:v>average</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data!$FK$5:$FK$156</c:f>
              <c:numCache>
                <c:formatCode>General</c:formatCode>
                <c:ptCount val="152"/>
                <c:pt idx="0">
                  <c:v>4.5616870531049965E-2</c:v>
                </c:pt>
                <c:pt idx="12">
                  <c:v>4.4322432995233772E-2</c:v>
                </c:pt>
                <c:pt idx="13">
                  <c:v>4.476788370817314E-2</c:v>
                </c:pt>
                <c:pt idx="14">
                  <c:v>4.4778249640960395E-2</c:v>
                </c:pt>
                <c:pt idx="15">
                  <c:v>4.6719928290785202E-2</c:v>
                </c:pt>
                <c:pt idx="16">
                  <c:v>4.5183924218966519E-2</c:v>
                </c:pt>
                <c:pt idx="17">
                  <c:v>4.3996413821889679E-2</c:v>
                </c:pt>
                <c:pt idx="18">
                  <c:v>4.3341985158581071E-2</c:v>
                </c:pt>
                <c:pt idx="19">
                  <c:v>4.4453673527461948E-2</c:v>
                </c:pt>
                <c:pt idx="20">
                  <c:v>4.7074259017285229E-2</c:v>
                </c:pt>
                <c:pt idx="21">
                  <c:v>4.8212990177237271E-2</c:v>
                </c:pt>
                <c:pt idx="22">
                  <c:v>4.1990121050318345E-2</c:v>
                </c:pt>
                <c:pt idx="23">
                  <c:v>4.448491596163779E-2</c:v>
                </c:pt>
                <c:pt idx="24">
                  <c:v>4.6867709496821404E-2</c:v>
                </c:pt>
                <c:pt idx="25">
                  <c:v>4.702202115800011E-2</c:v>
                </c:pt>
                <c:pt idx="26">
                  <c:v>4.3884834020293494E-2</c:v>
                </c:pt>
                <c:pt idx="27">
                  <c:v>4.6166252664719971E-2</c:v>
                </c:pt>
                <c:pt idx="28">
                  <c:v>4.6255043615069838E-2</c:v>
                </c:pt>
                <c:pt idx="29">
                  <c:v>4.5300048406975428E-2</c:v>
                </c:pt>
                <c:pt idx="30">
                  <c:v>4.5903957032326803E-2</c:v>
                </c:pt>
                <c:pt idx="31">
                  <c:v>4.8862865973530394E-2</c:v>
                </c:pt>
                <c:pt idx="32">
                  <c:v>4.4199236134970177E-2</c:v>
                </c:pt>
                <c:pt idx="33">
                  <c:v>4.503853099798491E-2</c:v>
                </c:pt>
                <c:pt idx="34">
                  <c:v>4.7808952939845856E-2</c:v>
                </c:pt>
                <c:pt idx="35">
                  <c:v>4.55027604758068E-2</c:v>
                </c:pt>
                <c:pt idx="36">
                  <c:v>4.5264003379074706E-2</c:v>
                </c:pt>
                <c:pt idx="37">
                  <c:v>4.6029479078602629E-2</c:v>
                </c:pt>
                <c:pt idx="38">
                  <c:v>4.9682606694908163E-2</c:v>
                </c:pt>
                <c:pt idx="39">
                  <c:v>4.9052825245944801E-2</c:v>
                </c:pt>
                <c:pt idx="40">
                  <c:v>4.8424943272679648E-2</c:v>
                </c:pt>
                <c:pt idx="41">
                  <c:v>4.9464678239545576E-2</c:v>
                </c:pt>
                <c:pt idx="42">
                  <c:v>4.900429529241402E-2</c:v>
                </c:pt>
                <c:pt idx="43">
                  <c:v>4.5847930040207208E-2</c:v>
                </c:pt>
                <c:pt idx="44">
                  <c:v>4.6489195386387301E-2</c:v>
                </c:pt>
                <c:pt idx="45">
                  <c:v>4.5351005337841151E-2</c:v>
                </c:pt>
                <c:pt idx="46">
                  <c:v>4.7463883044362422E-2</c:v>
                </c:pt>
                <c:pt idx="47">
                  <c:v>4.4158304047161402E-2</c:v>
                </c:pt>
                <c:pt idx="48">
                  <c:v>4.4137907788302809E-2</c:v>
                </c:pt>
                <c:pt idx="49">
                  <c:v>4.4743408080447772E-2</c:v>
                </c:pt>
                <c:pt idx="50">
                  <c:v>4.5077021499879646E-2</c:v>
                </c:pt>
                <c:pt idx="51">
                  <c:v>4.6344527956019524E-2</c:v>
                </c:pt>
                <c:pt idx="52">
                  <c:v>4.5670495977029074E-2</c:v>
                </c:pt>
                <c:pt idx="53">
                  <c:v>4.5070685011099391E-2</c:v>
                </c:pt>
                <c:pt idx="54">
                  <c:v>4.424874751801236E-2</c:v>
                </c:pt>
                <c:pt idx="55">
                  <c:v>4.2175112207330806E-2</c:v>
                </c:pt>
                <c:pt idx="56">
                  <c:v>4.1901518098981592E-2</c:v>
                </c:pt>
                <c:pt idx="57">
                  <c:v>4.3875029862868703E-2</c:v>
                </c:pt>
                <c:pt idx="58">
                  <c:v>4.3174261125608453E-2</c:v>
                </c:pt>
                <c:pt idx="59">
                  <c:v>4.3833357110492022E-2</c:v>
                </c:pt>
                <c:pt idx="60">
                  <c:v>4.4371241669058065E-2</c:v>
                </c:pt>
                <c:pt idx="61">
                  <c:v>4.5930215570415586E-2</c:v>
                </c:pt>
                <c:pt idx="62">
                  <c:v>4.7809214831791645E-2</c:v>
                </c:pt>
                <c:pt idx="63">
                  <c:v>4.6163020608378236E-2</c:v>
                </c:pt>
                <c:pt idx="64">
                  <c:v>4.4796233685928569E-2</c:v>
                </c:pt>
              </c:numCache>
            </c:numRef>
          </c:yVal>
          <c:smooth val="1"/>
          <c:extLst>
            <c:ext xmlns:c16="http://schemas.microsoft.com/office/drawing/2014/chart" uri="{C3380CC4-5D6E-409C-BE32-E72D297353CC}">
              <c16:uniqueId val="{00000000-B517-4862-9980-0D3726903011}"/>
            </c:ext>
          </c:extLst>
        </c:ser>
        <c:ser>
          <c:idx val="1"/>
          <c:order val="1"/>
          <c:tx>
            <c:strRef>
              <c:f>data!$FL$1:$FL$4</c:f>
              <c:strCache>
                <c:ptCount val="4"/>
                <c:pt idx="0">
                  <c:v>agricultural productivity</c:v>
                </c:pt>
                <c:pt idx="1">
                  <c:v>future losses / primary production vegetal</c:v>
                </c:pt>
                <c:pt idx="2">
                  <c:v>kcal/kcal</c:v>
                </c:pt>
                <c:pt idx="3">
                  <c:v>average</c:v>
                </c:pt>
              </c:strCache>
            </c:strRef>
          </c:tx>
          <c:spPr>
            <a:ln w="19050" cap="rnd">
              <a:solidFill>
                <a:schemeClr val="accent2"/>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data!$FL$5:$FL$156</c:f>
              <c:numCache>
                <c:formatCode>General</c:formatCode>
                <c:ptCount val="152"/>
                <c:pt idx="65">
                  <c:v>4.5616870531049965E-2</c:v>
                </c:pt>
                <c:pt idx="66">
                  <c:v>4.5616870531049965E-2</c:v>
                </c:pt>
                <c:pt idx="67">
                  <c:v>4.5616870531049965E-2</c:v>
                </c:pt>
                <c:pt idx="68">
                  <c:v>4.5616870531049965E-2</c:v>
                </c:pt>
                <c:pt idx="69">
                  <c:v>4.5616870531049965E-2</c:v>
                </c:pt>
                <c:pt idx="70">
                  <c:v>4.5616870531049965E-2</c:v>
                </c:pt>
                <c:pt idx="71">
                  <c:v>4.5616870531049965E-2</c:v>
                </c:pt>
                <c:pt idx="72">
                  <c:v>4.5616870531049965E-2</c:v>
                </c:pt>
                <c:pt idx="73">
                  <c:v>4.5616870531049965E-2</c:v>
                </c:pt>
                <c:pt idx="74">
                  <c:v>4.5616870531049965E-2</c:v>
                </c:pt>
                <c:pt idx="75">
                  <c:v>4.5616870531049965E-2</c:v>
                </c:pt>
                <c:pt idx="76">
                  <c:v>4.5616870531049965E-2</c:v>
                </c:pt>
                <c:pt idx="77">
                  <c:v>4.5616870531049965E-2</c:v>
                </c:pt>
                <c:pt idx="78">
                  <c:v>4.5616870531049965E-2</c:v>
                </c:pt>
                <c:pt idx="79">
                  <c:v>4.5616870531049965E-2</c:v>
                </c:pt>
                <c:pt idx="80">
                  <c:v>4.5616870531049965E-2</c:v>
                </c:pt>
                <c:pt idx="81">
                  <c:v>4.5616870531049965E-2</c:v>
                </c:pt>
                <c:pt idx="82">
                  <c:v>4.5616870531049965E-2</c:v>
                </c:pt>
                <c:pt idx="83">
                  <c:v>4.5616870531049965E-2</c:v>
                </c:pt>
                <c:pt idx="84">
                  <c:v>4.5616870531049965E-2</c:v>
                </c:pt>
                <c:pt idx="85">
                  <c:v>4.5616870531049965E-2</c:v>
                </c:pt>
                <c:pt idx="86">
                  <c:v>4.5616870531049965E-2</c:v>
                </c:pt>
                <c:pt idx="87">
                  <c:v>4.5616870531049965E-2</c:v>
                </c:pt>
                <c:pt idx="88">
                  <c:v>4.5616870531049965E-2</c:v>
                </c:pt>
                <c:pt idx="89">
                  <c:v>4.5616870531049965E-2</c:v>
                </c:pt>
                <c:pt idx="90">
                  <c:v>4.5616870531049965E-2</c:v>
                </c:pt>
                <c:pt idx="91">
                  <c:v>4.5616870531049965E-2</c:v>
                </c:pt>
                <c:pt idx="92">
                  <c:v>4.5616870531049965E-2</c:v>
                </c:pt>
                <c:pt idx="93">
                  <c:v>4.5616870531049965E-2</c:v>
                </c:pt>
                <c:pt idx="94">
                  <c:v>4.5616870531049965E-2</c:v>
                </c:pt>
                <c:pt idx="95">
                  <c:v>4.5616870531049965E-2</c:v>
                </c:pt>
                <c:pt idx="96">
                  <c:v>4.5616870531049965E-2</c:v>
                </c:pt>
                <c:pt idx="97">
                  <c:v>4.5616870531049965E-2</c:v>
                </c:pt>
                <c:pt idx="98">
                  <c:v>4.5616870531049965E-2</c:v>
                </c:pt>
                <c:pt idx="99">
                  <c:v>4.5616870531049965E-2</c:v>
                </c:pt>
                <c:pt idx="100">
                  <c:v>4.5616870531049965E-2</c:v>
                </c:pt>
                <c:pt idx="101">
                  <c:v>4.5616870531049965E-2</c:v>
                </c:pt>
                <c:pt idx="102">
                  <c:v>4.5616870531049965E-2</c:v>
                </c:pt>
                <c:pt idx="103">
                  <c:v>4.5616870531049965E-2</c:v>
                </c:pt>
                <c:pt idx="104">
                  <c:v>4.5616870531049965E-2</c:v>
                </c:pt>
                <c:pt idx="105">
                  <c:v>4.5616870531049965E-2</c:v>
                </c:pt>
                <c:pt idx="106">
                  <c:v>4.5616870531049965E-2</c:v>
                </c:pt>
                <c:pt idx="107">
                  <c:v>4.5616870531049965E-2</c:v>
                </c:pt>
                <c:pt idx="108">
                  <c:v>4.5616870531049965E-2</c:v>
                </c:pt>
                <c:pt idx="109">
                  <c:v>4.5616870531049965E-2</c:v>
                </c:pt>
                <c:pt idx="110">
                  <c:v>4.5616870531049965E-2</c:v>
                </c:pt>
                <c:pt idx="111">
                  <c:v>4.5616870531049965E-2</c:v>
                </c:pt>
                <c:pt idx="112">
                  <c:v>4.5616870531049965E-2</c:v>
                </c:pt>
                <c:pt idx="113">
                  <c:v>4.5616870531049965E-2</c:v>
                </c:pt>
                <c:pt idx="114">
                  <c:v>4.5616870531049965E-2</c:v>
                </c:pt>
                <c:pt idx="115">
                  <c:v>4.5616870531049965E-2</c:v>
                </c:pt>
                <c:pt idx="116">
                  <c:v>4.5616870531049965E-2</c:v>
                </c:pt>
                <c:pt idx="117">
                  <c:v>4.5616870531049965E-2</c:v>
                </c:pt>
                <c:pt idx="118">
                  <c:v>4.5616870531049965E-2</c:v>
                </c:pt>
                <c:pt idx="119">
                  <c:v>4.5616870531049965E-2</c:v>
                </c:pt>
                <c:pt idx="120">
                  <c:v>4.5616870531049965E-2</c:v>
                </c:pt>
                <c:pt idx="121">
                  <c:v>4.5616870531049965E-2</c:v>
                </c:pt>
                <c:pt idx="122">
                  <c:v>4.5616870531049965E-2</c:v>
                </c:pt>
                <c:pt idx="123">
                  <c:v>4.5616870531049965E-2</c:v>
                </c:pt>
                <c:pt idx="124">
                  <c:v>4.5616870531049965E-2</c:v>
                </c:pt>
                <c:pt idx="125">
                  <c:v>4.5616870531049965E-2</c:v>
                </c:pt>
                <c:pt idx="126">
                  <c:v>4.5616870531049965E-2</c:v>
                </c:pt>
                <c:pt idx="127">
                  <c:v>4.5616870531049965E-2</c:v>
                </c:pt>
                <c:pt idx="128">
                  <c:v>4.5616870531049965E-2</c:v>
                </c:pt>
                <c:pt idx="129">
                  <c:v>4.5616870531049965E-2</c:v>
                </c:pt>
                <c:pt idx="130">
                  <c:v>4.5616870531049965E-2</c:v>
                </c:pt>
                <c:pt idx="131">
                  <c:v>4.5616870531049965E-2</c:v>
                </c:pt>
                <c:pt idx="132">
                  <c:v>4.5616870531049965E-2</c:v>
                </c:pt>
                <c:pt idx="133">
                  <c:v>4.5616870531049965E-2</c:v>
                </c:pt>
                <c:pt idx="134">
                  <c:v>4.5616870531049965E-2</c:v>
                </c:pt>
                <c:pt idx="135">
                  <c:v>4.5616870531049965E-2</c:v>
                </c:pt>
                <c:pt idx="136">
                  <c:v>4.5616870531049965E-2</c:v>
                </c:pt>
                <c:pt idx="137">
                  <c:v>4.5616870531049965E-2</c:v>
                </c:pt>
                <c:pt idx="138">
                  <c:v>4.5616870531049965E-2</c:v>
                </c:pt>
                <c:pt idx="139">
                  <c:v>4.5616870531049965E-2</c:v>
                </c:pt>
                <c:pt idx="140">
                  <c:v>4.5616870531049965E-2</c:v>
                </c:pt>
                <c:pt idx="141">
                  <c:v>4.5616870531049965E-2</c:v>
                </c:pt>
                <c:pt idx="142">
                  <c:v>4.5616870531049965E-2</c:v>
                </c:pt>
                <c:pt idx="143">
                  <c:v>4.5616870531049965E-2</c:v>
                </c:pt>
                <c:pt idx="144">
                  <c:v>4.5616870531049965E-2</c:v>
                </c:pt>
                <c:pt idx="145">
                  <c:v>4.5616870531049965E-2</c:v>
                </c:pt>
                <c:pt idx="146">
                  <c:v>4.5616870531049965E-2</c:v>
                </c:pt>
                <c:pt idx="147">
                  <c:v>4.5616870531049965E-2</c:v>
                </c:pt>
                <c:pt idx="148">
                  <c:v>4.5616870531049965E-2</c:v>
                </c:pt>
                <c:pt idx="149">
                  <c:v>4.5616870531049965E-2</c:v>
                </c:pt>
                <c:pt idx="150">
                  <c:v>4.5616870531049965E-2</c:v>
                </c:pt>
                <c:pt idx="151">
                  <c:v>4.5616870531049965E-2</c:v>
                </c:pt>
              </c:numCache>
            </c:numRef>
          </c:yVal>
          <c:smooth val="1"/>
          <c:extLst>
            <c:ext xmlns:c16="http://schemas.microsoft.com/office/drawing/2014/chart" uri="{C3380CC4-5D6E-409C-BE32-E72D297353CC}">
              <c16:uniqueId val="{00000001-B517-4862-9980-0D3726903011}"/>
            </c:ext>
          </c:extLst>
        </c:ser>
        <c:dLbls>
          <c:showLegendKey val="0"/>
          <c:showVal val="0"/>
          <c:showCatName val="0"/>
          <c:showSerName val="0"/>
          <c:showPercent val="0"/>
          <c:showBubbleSize val="0"/>
        </c:dLbls>
        <c:axId val="408583200"/>
        <c:axId val="408585160"/>
      </c:scatterChart>
      <c:valAx>
        <c:axId val="40858320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585160"/>
        <c:crosses val="autoZero"/>
        <c:crossBetween val="midCat"/>
      </c:valAx>
      <c:valAx>
        <c:axId val="408585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kcal/kcal</a:t>
                </a:r>
              </a:p>
            </c:rich>
          </c:tx>
          <c:layout>
            <c:manualLayout>
              <c:xMode val="edge"/>
              <c:yMode val="edge"/>
              <c:x val="2.3126766606097319E-3"/>
              <c:y val="0.141498797025371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5832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texts!$A$114</c:f>
          <c:strCache>
            <c:ptCount val="1"/>
            <c:pt idx="0">
              <c:v>food supply</c:v>
            </c:pt>
          </c:strCache>
        </c:strRef>
      </c:tx>
      <c:layout>
        <c:manualLayout>
          <c:xMode val="edge"/>
          <c:yMode val="edge"/>
          <c:x val="0.1871050373511003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9664407934585099"/>
          <c:y val="0.13753499562554683"/>
          <c:w val="0.73464566929133857"/>
          <c:h val="0.7102887139107612"/>
        </c:manualLayout>
      </c:layout>
      <c:areaChart>
        <c:grouping val="stacked"/>
        <c:varyColors val="0"/>
        <c:ser>
          <c:idx val="0"/>
          <c:order val="0"/>
          <c:tx>
            <c:strRef>
              <c:f>data!$EN$2:$EN$3</c:f>
              <c:strCache>
                <c:ptCount val="2"/>
                <c:pt idx="0">
                  <c:v>per capita food vegetal</c:v>
                </c:pt>
                <c:pt idx="1">
                  <c:v>kcal/(cap d)</c:v>
                </c:pt>
              </c:strCache>
            </c:strRef>
          </c:tx>
          <c:spPr>
            <a:solidFill>
              <a:srgbClr val="00B05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data!$EN$6:$EN$156</c:f>
              <c:numCache>
                <c:formatCode>General</c:formatCode>
                <c:ptCount val="151"/>
                <c:pt idx="11">
                  <c:v>1848.0374796175386</c:v>
                </c:pt>
                <c:pt idx="12">
                  <c:v>1889.2184274318488</c:v>
                </c:pt>
                <c:pt idx="13">
                  <c:v>1892.7577982835628</c:v>
                </c:pt>
                <c:pt idx="14">
                  <c:v>1922.9938585207267</c:v>
                </c:pt>
                <c:pt idx="15">
                  <c:v>1942.3519637637737</c:v>
                </c:pt>
                <c:pt idx="16">
                  <c:v>1952.9271023706499</c:v>
                </c:pt>
                <c:pt idx="17">
                  <c:v>1950.4169045951444</c:v>
                </c:pt>
                <c:pt idx="18">
                  <c:v>1948.5724421913742</c:v>
                </c:pt>
                <c:pt idx="19">
                  <c:v>1960.3209624728224</c:v>
                </c:pt>
                <c:pt idx="20">
                  <c:v>2006.2104586273679</c:v>
                </c:pt>
                <c:pt idx="21">
                  <c:v>1978.1400013842642</c:v>
                </c:pt>
                <c:pt idx="22">
                  <c:v>1961.8768105755557</c:v>
                </c:pt>
                <c:pt idx="23">
                  <c:v>2003.8156770956728</c:v>
                </c:pt>
                <c:pt idx="24">
                  <c:v>1990.5933627065956</c:v>
                </c:pt>
                <c:pt idx="25">
                  <c:v>2004.4304340534341</c:v>
                </c:pt>
                <c:pt idx="26">
                  <c:v>1993.536421748162</c:v>
                </c:pt>
                <c:pt idx="27">
                  <c:v>2020.2674213487676</c:v>
                </c:pt>
                <c:pt idx="28">
                  <c:v>2069.3557760029648</c:v>
                </c:pt>
                <c:pt idx="29">
                  <c:v>2061.1209959137982</c:v>
                </c:pt>
                <c:pt idx="30">
                  <c:v>2067.5828765424258</c:v>
                </c:pt>
                <c:pt idx="31">
                  <c:v>2078.6977838954595</c:v>
                </c:pt>
                <c:pt idx="32">
                  <c:v>2109.0601481858612</c:v>
                </c:pt>
                <c:pt idx="33">
                  <c:v>2146.0426904012629</c:v>
                </c:pt>
                <c:pt idx="34">
                  <c:v>2150.2018567637638</c:v>
                </c:pt>
                <c:pt idx="35">
                  <c:v>2145.5543708976934</c:v>
                </c:pt>
                <c:pt idx="36">
                  <c:v>2149.3904917953664</c:v>
                </c:pt>
                <c:pt idx="37">
                  <c:v>2160.5499019145868</c:v>
                </c:pt>
                <c:pt idx="38">
                  <c:v>2174.2946982093113</c:v>
                </c:pt>
                <c:pt idx="39">
                  <c:v>2181.4177397716321</c:v>
                </c:pt>
                <c:pt idx="40">
                  <c:v>2168.034514695978</c:v>
                </c:pt>
                <c:pt idx="41">
                  <c:v>2151.306255512719</c:v>
                </c:pt>
                <c:pt idx="42">
                  <c:v>2158.9182554881522</c:v>
                </c:pt>
                <c:pt idx="43">
                  <c:v>2161.7574043275013</c:v>
                </c:pt>
                <c:pt idx="44">
                  <c:v>2175.9254694496312</c:v>
                </c:pt>
                <c:pt idx="45">
                  <c:v>2195.2106210694928</c:v>
                </c:pt>
                <c:pt idx="46">
                  <c:v>2201.6880923936401</c:v>
                </c:pt>
                <c:pt idx="47">
                  <c:v>2210.783723031213</c:v>
                </c:pt>
                <c:pt idx="48">
                  <c:v>2215.5694373216461</c:v>
                </c:pt>
                <c:pt idx="49">
                  <c:v>2220.4781623777635</c:v>
                </c:pt>
                <c:pt idx="50">
                  <c:v>2227.8166301226515</c:v>
                </c:pt>
                <c:pt idx="51">
                  <c:v>2224.7815919826216</c:v>
                </c:pt>
                <c:pt idx="52">
                  <c:v>2219.0399750717506</c:v>
                </c:pt>
                <c:pt idx="53">
                  <c:v>2218.0300002996205</c:v>
                </c:pt>
                <c:pt idx="54">
                  <c:v>2223.9384597916596</c:v>
                </c:pt>
                <c:pt idx="55">
                  <c:v>2234.3665056372897</c:v>
                </c:pt>
                <c:pt idx="56">
                  <c:v>2242.1156449547143</c:v>
                </c:pt>
                <c:pt idx="57">
                  <c:v>2255.8460939537945</c:v>
                </c:pt>
                <c:pt idx="58">
                  <c:v>2265.9102305927122</c:v>
                </c:pt>
                <c:pt idx="59">
                  <c:v>2264.4030335972357</c:v>
                </c:pt>
                <c:pt idx="60">
                  <c:v>2280.3807592056646</c:v>
                </c:pt>
                <c:pt idx="61">
                  <c:v>2294.3429578976284</c:v>
                </c:pt>
                <c:pt idx="62">
                  <c:v>2293.5639700206248</c:v>
                </c:pt>
                <c:pt idx="63">
                  <c:v>2301.0644792795306</c:v>
                </c:pt>
              </c:numCache>
            </c:numRef>
          </c:val>
          <c:extLst>
            <c:ext xmlns:c16="http://schemas.microsoft.com/office/drawing/2014/chart" uri="{C3380CC4-5D6E-409C-BE32-E72D297353CC}">
              <c16:uniqueId val="{00000000-F1F4-429C-B7CD-DC72EAFF5C96}"/>
            </c:ext>
          </c:extLst>
        </c:ser>
        <c:ser>
          <c:idx val="1"/>
          <c:order val="1"/>
          <c:tx>
            <c:strRef>
              <c:f>data!$EO$2:$EO$3</c:f>
              <c:strCache>
                <c:ptCount val="2"/>
                <c:pt idx="0">
                  <c:v>future per capita food vegetal</c:v>
                </c:pt>
                <c:pt idx="1">
                  <c:v>kcal/(cap d)</c:v>
                </c:pt>
              </c:strCache>
            </c:strRef>
          </c:tx>
          <c:spPr>
            <a:solidFill>
              <a:srgbClr val="92D05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data!$EO$6:$EO$156</c:f>
              <c:numCache>
                <c:formatCode>General</c:formatCode>
                <c:ptCount val="151"/>
                <c:pt idx="64">
                  <c:v>2307.6080108990541</c:v>
                </c:pt>
                <c:pt idx="65">
                  <c:v>2314.0843785130915</c:v>
                </c:pt>
                <c:pt idx="66">
                  <c:v>2320.4935821216482</c:v>
                </c:pt>
                <c:pt idx="67">
                  <c:v>2326.8356217247238</c:v>
                </c:pt>
                <c:pt idx="68">
                  <c:v>2333.1104973223182</c:v>
                </c:pt>
                <c:pt idx="69">
                  <c:v>2339.3182089144307</c:v>
                </c:pt>
                <c:pt idx="70">
                  <c:v>2345.4587565010629</c:v>
                </c:pt>
                <c:pt idx="71">
                  <c:v>2351.5321400822131</c:v>
                </c:pt>
                <c:pt idx="72">
                  <c:v>2371.792863045182</c:v>
                </c:pt>
                <c:pt idx="73">
                  <c:v>2392.0582412266454</c:v>
                </c:pt>
                <c:pt idx="74">
                  <c:v>2412.3270563352376</c:v>
                </c:pt>
                <c:pt idx="75">
                  <c:v>2432.5980900795907</c:v>
                </c:pt>
                <c:pt idx="76">
                  <c:v>2452.870124168338</c:v>
                </c:pt>
                <c:pt idx="77">
                  <c:v>2473.1419403101122</c:v>
                </c:pt>
                <c:pt idx="78">
                  <c:v>2493.412320213547</c:v>
                </c:pt>
                <c:pt idx="79">
                  <c:v>2513.6800455872749</c:v>
                </c:pt>
                <c:pt idx="80">
                  <c:v>2533.9438981399289</c:v>
                </c:pt>
                <c:pt idx="81">
                  <c:v>2554.2026595801426</c:v>
                </c:pt>
                <c:pt idx="82">
                  <c:v>2574.455111616548</c:v>
                </c:pt>
                <c:pt idx="83">
                  <c:v>2594.7000359577792</c:v>
                </c:pt>
                <c:pt idx="84">
                  <c:v>2614.9362143124686</c:v>
                </c:pt>
                <c:pt idx="85">
                  <c:v>2635.1624283892488</c:v>
                </c:pt>
                <c:pt idx="86">
                  <c:v>2655.3774598967543</c:v>
                </c:pt>
                <c:pt idx="87">
                  <c:v>2675.5800905436163</c:v>
                </c:pt>
                <c:pt idx="88">
                  <c:v>2695.7691020384696</c:v>
                </c:pt>
                <c:pt idx="89">
                  <c:v>2715.9432760899454</c:v>
                </c:pt>
                <c:pt idx="90">
                  <c:v>2736.1013944066772</c:v>
                </c:pt>
                <c:pt idx="91">
                  <c:v>2756.2422386972989</c:v>
                </c:pt>
                <c:pt idx="92">
                  <c:v>2776.3645906704437</c:v>
                </c:pt>
                <c:pt idx="93">
                  <c:v>2796.4672320347431</c:v>
                </c:pt>
                <c:pt idx="94">
                  <c:v>2816.5489444988316</c:v>
                </c:pt>
                <c:pt idx="95">
                  <c:v>2836.6085097713408</c:v>
                </c:pt>
                <c:pt idx="96">
                  <c:v>2856.6447095609055</c:v>
                </c:pt>
                <c:pt idx="97">
                  <c:v>2876.6563255761571</c:v>
                </c:pt>
                <c:pt idx="98">
                  <c:v>2896.6421395257289</c:v>
                </c:pt>
                <c:pt idx="99">
                  <c:v>2916.6009331182549</c:v>
                </c:pt>
                <c:pt idx="100">
                  <c:v>2936.5314880623669</c:v>
                </c:pt>
                <c:pt idx="101">
                  <c:v>2956.4325860666991</c:v>
                </c:pt>
                <c:pt idx="102">
                  <c:v>2961.1478693411505</c:v>
                </c:pt>
                <c:pt idx="103">
                  <c:v>2965.783805696452</c:v>
                </c:pt>
                <c:pt idx="104">
                  <c:v>2970.3403951326013</c:v>
                </c:pt>
                <c:pt idx="105">
                  <c:v>2974.8176376496008</c:v>
                </c:pt>
                <c:pt idx="106">
                  <c:v>2979.2155332474485</c:v>
                </c:pt>
                <c:pt idx="107">
                  <c:v>2983.5340819261451</c:v>
                </c:pt>
                <c:pt idx="108">
                  <c:v>2987.7732836856908</c:v>
                </c:pt>
                <c:pt idx="109">
                  <c:v>2991.9331385260853</c:v>
                </c:pt>
                <c:pt idx="110">
                  <c:v>2996.0136464473289</c:v>
                </c:pt>
                <c:pt idx="111">
                  <c:v>3000.0148074494209</c:v>
                </c:pt>
                <c:pt idx="112">
                  <c:v>3003.9366215323626</c:v>
                </c:pt>
                <c:pt idx="113">
                  <c:v>3007.779088696152</c:v>
                </c:pt>
                <c:pt idx="114">
                  <c:v>3011.5422089407912</c:v>
                </c:pt>
                <c:pt idx="115">
                  <c:v>3015.2259822662795</c:v>
                </c:pt>
                <c:pt idx="116">
                  <c:v>3018.8304086726157</c:v>
                </c:pt>
                <c:pt idx="117">
                  <c:v>3022.3554881598016</c:v>
                </c:pt>
                <c:pt idx="118">
                  <c:v>3025.8012207278366</c:v>
                </c:pt>
                <c:pt idx="119">
                  <c:v>3029.16760637672</c:v>
                </c:pt>
                <c:pt idx="120">
                  <c:v>3032.4546451064521</c:v>
                </c:pt>
                <c:pt idx="121">
                  <c:v>3035.6623369170338</c:v>
                </c:pt>
                <c:pt idx="122">
                  <c:v>3038.7906818084639</c:v>
                </c:pt>
                <c:pt idx="123">
                  <c:v>3041.8396797807432</c:v>
                </c:pt>
                <c:pt idx="124">
                  <c:v>3044.8093308338712</c:v>
                </c:pt>
                <c:pt idx="125">
                  <c:v>3047.6996349678479</c:v>
                </c:pt>
                <c:pt idx="126">
                  <c:v>3050.5105921826735</c:v>
                </c:pt>
                <c:pt idx="127">
                  <c:v>3053.2422024783491</c:v>
                </c:pt>
                <c:pt idx="128">
                  <c:v>3055.8944658548726</c:v>
                </c:pt>
                <c:pt idx="129">
                  <c:v>3058.4673823122448</c:v>
                </c:pt>
                <c:pt idx="130">
                  <c:v>3060.9609518504667</c:v>
                </c:pt>
                <c:pt idx="131">
                  <c:v>3063.3751744695364</c:v>
                </c:pt>
                <c:pt idx="132">
                  <c:v>3065.7100501694563</c:v>
                </c:pt>
                <c:pt idx="133">
                  <c:v>3067.9655789502244</c:v>
                </c:pt>
                <c:pt idx="134">
                  <c:v>3070.1417608118413</c:v>
                </c:pt>
                <c:pt idx="135">
                  <c:v>3072.2385957543074</c:v>
                </c:pt>
                <c:pt idx="136">
                  <c:v>3074.2560837776223</c:v>
                </c:pt>
                <c:pt idx="137">
                  <c:v>3076.1942248817863</c:v>
                </c:pt>
                <c:pt idx="138">
                  <c:v>3078.0530190667987</c:v>
                </c:pt>
                <c:pt idx="139">
                  <c:v>3079.8324663326603</c:v>
                </c:pt>
                <c:pt idx="140">
                  <c:v>3081.532566679371</c:v>
                </c:pt>
                <c:pt idx="141">
                  <c:v>3083.1533201069306</c:v>
                </c:pt>
                <c:pt idx="142">
                  <c:v>3084.6947266153388</c:v>
                </c:pt>
                <c:pt idx="143">
                  <c:v>3086.1567862045958</c:v>
                </c:pt>
                <c:pt idx="144">
                  <c:v>3087.5394988747021</c:v>
                </c:pt>
                <c:pt idx="145">
                  <c:v>3088.8428646256571</c:v>
                </c:pt>
                <c:pt idx="146">
                  <c:v>3090.0668834574612</c:v>
                </c:pt>
                <c:pt idx="147">
                  <c:v>3091.2115553701137</c:v>
                </c:pt>
                <c:pt idx="148">
                  <c:v>3092.2768803636154</c:v>
                </c:pt>
                <c:pt idx="149">
                  <c:v>3093.2628584379659</c:v>
                </c:pt>
                <c:pt idx="150">
                  <c:v>3094.169489593166</c:v>
                </c:pt>
              </c:numCache>
            </c:numRef>
          </c:val>
          <c:extLst>
            <c:ext xmlns:c16="http://schemas.microsoft.com/office/drawing/2014/chart" uri="{C3380CC4-5D6E-409C-BE32-E72D297353CC}">
              <c16:uniqueId val="{00000001-F1F4-429C-B7CD-DC72EAFF5C96}"/>
            </c:ext>
          </c:extLst>
        </c:ser>
        <c:ser>
          <c:idx val="2"/>
          <c:order val="2"/>
          <c:tx>
            <c:strRef>
              <c:f>data!$EP$2:$EP$3</c:f>
              <c:strCache>
                <c:ptCount val="2"/>
                <c:pt idx="0">
                  <c:v>per capita food animal based </c:v>
                </c:pt>
                <c:pt idx="1">
                  <c:v>kcal/(cap d)</c:v>
                </c:pt>
              </c:strCache>
            </c:strRef>
          </c:tx>
          <c:spPr>
            <a:solidFill>
              <a:srgbClr val="FF990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data!$EP$6:$EP$156</c:f>
              <c:numCache>
                <c:formatCode>General</c:formatCode>
                <c:ptCount val="151"/>
                <c:pt idx="11">
                  <c:v>347.09329425386267</c:v>
                </c:pt>
                <c:pt idx="12">
                  <c:v>351.12543504607345</c:v>
                </c:pt>
                <c:pt idx="13">
                  <c:v>357.59567180005246</c:v>
                </c:pt>
                <c:pt idx="14">
                  <c:v>356.94079394627107</c:v>
                </c:pt>
                <c:pt idx="15">
                  <c:v>359.88363125731485</c:v>
                </c:pt>
                <c:pt idx="16">
                  <c:v>363.64158660890712</c:v>
                </c:pt>
                <c:pt idx="17">
                  <c:v>369.02418402791631</c:v>
                </c:pt>
                <c:pt idx="18">
                  <c:v>374.34407837612298</c:v>
                </c:pt>
                <c:pt idx="19">
                  <c:v>370.68561380457356</c:v>
                </c:pt>
                <c:pt idx="20">
                  <c:v>372.02039217841684</c:v>
                </c:pt>
                <c:pt idx="21">
                  <c:v>375.40568008967136</c:v>
                </c:pt>
                <c:pt idx="22">
                  <c:v>377.95106283456164</c:v>
                </c:pt>
                <c:pt idx="23">
                  <c:v>373.56188658180781</c:v>
                </c:pt>
                <c:pt idx="24">
                  <c:v>377.82294011688788</c:v>
                </c:pt>
                <c:pt idx="25">
                  <c:v>376.41995318296938</c:v>
                </c:pt>
                <c:pt idx="26">
                  <c:v>380.32264170866506</c:v>
                </c:pt>
                <c:pt idx="27">
                  <c:v>379.54132719023738</c:v>
                </c:pt>
                <c:pt idx="28">
                  <c:v>385.6551458759572</c:v>
                </c:pt>
                <c:pt idx="29">
                  <c:v>392.84815760288325</c:v>
                </c:pt>
                <c:pt idx="30">
                  <c:v>395.52232169041901</c:v>
                </c:pt>
                <c:pt idx="31">
                  <c:v>393.26970275219622</c:v>
                </c:pt>
                <c:pt idx="32">
                  <c:v>390.52529676504287</c:v>
                </c:pt>
                <c:pt idx="33">
                  <c:v>396.03839861272684</c:v>
                </c:pt>
                <c:pt idx="34">
                  <c:v>400.03043465563388</c:v>
                </c:pt>
                <c:pt idx="35">
                  <c:v>408.00853668395905</c:v>
                </c:pt>
                <c:pt idx="36">
                  <c:v>405.98681241042203</c:v>
                </c:pt>
                <c:pt idx="37">
                  <c:v>409.10252712402246</c:v>
                </c:pt>
                <c:pt idx="38">
                  <c:v>412.3649469317549</c:v>
                </c:pt>
                <c:pt idx="39">
                  <c:v>412.4404975022353</c:v>
                </c:pt>
                <c:pt idx="40">
                  <c:v>411.91652852954815</c:v>
                </c:pt>
                <c:pt idx="41">
                  <c:v>406.16258679653811</c:v>
                </c:pt>
                <c:pt idx="42">
                  <c:v>404.34264769733369</c:v>
                </c:pt>
                <c:pt idx="43">
                  <c:v>404.77535366110703</c:v>
                </c:pt>
                <c:pt idx="44">
                  <c:v>411.17551079879559</c:v>
                </c:pt>
                <c:pt idx="45">
                  <c:v>416.5938449371385</c:v>
                </c:pt>
                <c:pt idx="46">
                  <c:v>415.62729557678614</c:v>
                </c:pt>
                <c:pt idx="47">
                  <c:v>416.55230892237847</c:v>
                </c:pt>
                <c:pt idx="48">
                  <c:v>424.48947079388506</c:v>
                </c:pt>
                <c:pt idx="49">
                  <c:v>430.76409609698459</c:v>
                </c:pt>
                <c:pt idx="50">
                  <c:v>434.72249463173887</c:v>
                </c:pt>
                <c:pt idx="51">
                  <c:v>433.67896591370328</c:v>
                </c:pt>
                <c:pt idx="52">
                  <c:v>440.64293493261624</c:v>
                </c:pt>
                <c:pt idx="53">
                  <c:v>445.66541330429857</c:v>
                </c:pt>
                <c:pt idx="54">
                  <c:v>448.02334838552679</c:v>
                </c:pt>
                <c:pt idx="55">
                  <c:v>452.54085209215077</c:v>
                </c:pt>
                <c:pt idx="56">
                  <c:v>459.52334874587001</c:v>
                </c:pt>
                <c:pt idx="57">
                  <c:v>468.57419681472248</c:v>
                </c:pt>
                <c:pt idx="58">
                  <c:v>472.60588299618729</c:v>
                </c:pt>
                <c:pt idx="59">
                  <c:v>474.18450137679014</c:v>
                </c:pt>
                <c:pt idx="60">
                  <c:v>479.85514299320965</c:v>
                </c:pt>
                <c:pt idx="61">
                  <c:v>482.44223803874689</c:v>
                </c:pt>
                <c:pt idx="62">
                  <c:v>487.122554819215</c:v>
                </c:pt>
                <c:pt idx="63">
                  <c:v>487.73060926968412</c:v>
                </c:pt>
              </c:numCache>
            </c:numRef>
          </c:val>
          <c:extLst>
            <c:ext xmlns:c16="http://schemas.microsoft.com/office/drawing/2014/chart" uri="{C3380CC4-5D6E-409C-BE32-E72D297353CC}">
              <c16:uniqueId val="{00000002-F1F4-429C-B7CD-DC72EAFF5C96}"/>
            </c:ext>
          </c:extLst>
        </c:ser>
        <c:ser>
          <c:idx val="3"/>
          <c:order val="3"/>
          <c:tx>
            <c:strRef>
              <c:f>data!$EQ$2:$EQ$3</c:f>
              <c:strCache>
                <c:ptCount val="2"/>
                <c:pt idx="0">
                  <c:v>future per capita food animal based</c:v>
                </c:pt>
                <c:pt idx="1">
                  <c:v>kcal/(cap d)</c:v>
                </c:pt>
              </c:strCache>
            </c:strRef>
          </c:tx>
          <c:spPr>
            <a:solidFill>
              <a:srgbClr val="FF000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data!$EQ$6:$EQ$156</c:f>
              <c:numCache>
                <c:formatCode>General</c:formatCode>
                <c:ptCount val="151"/>
                <c:pt idx="64">
                  <c:v>489.1175676501648</c:v>
                </c:pt>
                <c:pt idx="65">
                  <c:v>490.49029003612713</c:v>
                </c:pt>
                <c:pt idx="66">
                  <c:v>491.84877642757056</c:v>
                </c:pt>
                <c:pt idx="67">
                  <c:v>493.19302682449506</c:v>
                </c:pt>
                <c:pt idx="68">
                  <c:v>494.52304122690066</c:v>
                </c:pt>
                <c:pt idx="69">
                  <c:v>495.8388196347878</c:v>
                </c:pt>
                <c:pt idx="70">
                  <c:v>497.14036204815602</c:v>
                </c:pt>
                <c:pt idx="71">
                  <c:v>498.42766846700533</c:v>
                </c:pt>
                <c:pt idx="72">
                  <c:v>485.44623550403685</c:v>
                </c:pt>
                <c:pt idx="73">
                  <c:v>472.37874732257296</c:v>
                </c:pt>
                <c:pt idx="74">
                  <c:v>459.2264222139811</c:v>
                </c:pt>
                <c:pt idx="75">
                  <c:v>445.99047846962821</c:v>
                </c:pt>
                <c:pt idx="76">
                  <c:v>432.67213438088083</c:v>
                </c:pt>
                <c:pt idx="77">
                  <c:v>419.27260823910683</c:v>
                </c:pt>
                <c:pt idx="78">
                  <c:v>405.79311833567181</c:v>
                </c:pt>
                <c:pt idx="79">
                  <c:v>392.23488296194409</c:v>
                </c:pt>
                <c:pt idx="80">
                  <c:v>378.59912040928975</c:v>
                </c:pt>
                <c:pt idx="81">
                  <c:v>364.8870489690762</c:v>
                </c:pt>
                <c:pt idx="82">
                  <c:v>351.09988693267042</c:v>
                </c:pt>
                <c:pt idx="83">
                  <c:v>337.23885259143935</c:v>
                </c:pt>
                <c:pt idx="84">
                  <c:v>323.30516423675044</c:v>
                </c:pt>
                <c:pt idx="85">
                  <c:v>309.30004015996974</c:v>
                </c:pt>
                <c:pt idx="86">
                  <c:v>295.22469865246467</c:v>
                </c:pt>
                <c:pt idx="87">
                  <c:v>281.08035800560219</c:v>
                </c:pt>
                <c:pt idx="88">
                  <c:v>266.86823651074928</c:v>
                </c:pt>
                <c:pt idx="89">
                  <c:v>252.58955245927336</c:v>
                </c:pt>
                <c:pt idx="90">
                  <c:v>238.2455241425414</c:v>
                </c:pt>
                <c:pt idx="91">
                  <c:v>223.83736985191945</c:v>
                </c:pt>
                <c:pt idx="92">
                  <c:v>209.36630787877493</c:v>
                </c:pt>
                <c:pt idx="93">
                  <c:v>194.83355651447528</c:v>
                </c:pt>
                <c:pt idx="94">
                  <c:v>180.24033405038699</c:v>
                </c:pt>
                <c:pt idx="95">
                  <c:v>165.5878587778775</c:v>
                </c:pt>
                <c:pt idx="96">
                  <c:v>150.87734898831332</c:v>
                </c:pt>
                <c:pt idx="97">
                  <c:v>136.11002297306186</c:v>
                </c:pt>
                <c:pt idx="98">
                  <c:v>121.28709902348965</c:v>
                </c:pt>
                <c:pt idx="99">
                  <c:v>106.4097954309641</c:v>
                </c:pt>
                <c:pt idx="100">
                  <c:v>91.479330486851723</c:v>
                </c:pt>
                <c:pt idx="101">
                  <c:v>76.496922482519949</c:v>
                </c:pt>
                <c:pt idx="102">
                  <c:v>76.618929208068039</c:v>
                </c:pt>
                <c:pt idx="103">
                  <c:v>76.738882852766892</c:v>
                </c:pt>
                <c:pt idx="104">
                  <c:v>76.856783416616963</c:v>
                </c:pt>
                <c:pt idx="105">
                  <c:v>76.972630899617798</c:v>
                </c:pt>
                <c:pt idx="106">
                  <c:v>77.086425301770305</c:v>
                </c:pt>
                <c:pt idx="107">
                  <c:v>77.198166623073575</c:v>
                </c:pt>
                <c:pt idx="108">
                  <c:v>77.307854863528064</c:v>
                </c:pt>
                <c:pt idx="109">
                  <c:v>77.415490023133316</c:v>
                </c:pt>
                <c:pt idx="110">
                  <c:v>77.521072101889786</c:v>
                </c:pt>
                <c:pt idx="111">
                  <c:v>77.624601099797474</c:v>
                </c:pt>
                <c:pt idx="112">
                  <c:v>77.726077016856379</c:v>
                </c:pt>
                <c:pt idx="113">
                  <c:v>77.825499853066503</c:v>
                </c:pt>
                <c:pt idx="114">
                  <c:v>77.922869608427391</c:v>
                </c:pt>
                <c:pt idx="115">
                  <c:v>78.018186282939496</c:v>
                </c:pt>
                <c:pt idx="116">
                  <c:v>78.111449876602819</c:v>
                </c:pt>
                <c:pt idx="117">
                  <c:v>78.202660389416906</c:v>
                </c:pt>
                <c:pt idx="118">
                  <c:v>78.29181782138221</c:v>
                </c:pt>
                <c:pt idx="119">
                  <c:v>78.378922172498733</c:v>
                </c:pt>
                <c:pt idx="120">
                  <c:v>78.463973442766473</c:v>
                </c:pt>
                <c:pt idx="121">
                  <c:v>78.546971632184977</c:v>
                </c:pt>
                <c:pt idx="122">
                  <c:v>78.627916740754699</c:v>
                </c:pt>
                <c:pt idx="123">
                  <c:v>78.706808768475639</c:v>
                </c:pt>
                <c:pt idx="124">
                  <c:v>78.783647715347342</c:v>
                </c:pt>
                <c:pt idx="125">
                  <c:v>78.858433581370718</c:v>
                </c:pt>
                <c:pt idx="126">
                  <c:v>78.931166366544858</c:v>
                </c:pt>
                <c:pt idx="127">
                  <c:v>79.00184607086976</c:v>
                </c:pt>
                <c:pt idx="128">
                  <c:v>79.070472694346336</c:v>
                </c:pt>
                <c:pt idx="129">
                  <c:v>79.137046236973674</c:v>
                </c:pt>
                <c:pt idx="130">
                  <c:v>79.201566698752231</c:v>
                </c:pt>
                <c:pt idx="131">
                  <c:v>79.264034079682006</c:v>
                </c:pt>
                <c:pt idx="132">
                  <c:v>79.324448379762543</c:v>
                </c:pt>
                <c:pt idx="133">
                  <c:v>79.382809598994299</c:v>
                </c:pt>
                <c:pt idx="134">
                  <c:v>79.439117737377273</c:v>
                </c:pt>
                <c:pt idx="135">
                  <c:v>79.493372794911011</c:v>
                </c:pt>
                <c:pt idx="136">
                  <c:v>79.545574771596421</c:v>
                </c:pt>
                <c:pt idx="137">
                  <c:v>79.595723667432594</c:v>
                </c:pt>
                <c:pt idx="138">
                  <c:v>79.643819482419985</c:v>
                </c:pt>
                <c:pt idx="139">
                  <c:v>79.68986221655814</c:v>
                </c:pt>
                <c:pt idx="140">
                  <c:v>79.733851869847513</c:v>
                </c:pt>
                <c:pt idx="141">
                  <c:v>79.775788442288103</c:v>
                </c:pt>
                <c:pt idx="142">
                  <c:v>79.815671933879912</c:v>
                </c:pt>
                <c:pt idx="143">
                  <c:v>79.853502344622939</c:v>
                </c:pt>
                <c:pt idx="144">
                  <c:v>79.889279674516729</c:v>
                </c:pt>
                <c:pt idx="145">
                  <c:v>79.923003923561737</c:v>
                </c:pt>
                <c:pt idx="146">
                  <c:v>79.954675091757508</c:v>
                </c:pt>
                <c:pt idx="147">
                  <c:v>79.984293179104952</c:v>
                </c:pt>
                <c:pt idx="148">
                  <c:v>80.01185818560316</c:v>
                </c:pt>
                <c:pt idx="149">
                  <c:v>80.037370111252585</c:v>
                </c:pt>
                <c:pt idx="150">
                  <c:v>80.060828956052774</c:v>
                </c:pt>
              </c:numCache>
            </c:numRef>
          </c:val>
          <c:extLst>
            <c:ext xmlns:c16="http://schemas.microsoft.com/office/drawing/2014/chart" uri="{C3380CC4-5D6E-409C-BE32-E72D297353CC}">
              <c16:uniqueId val="{00000003-F1F4-429C-B7CD-DC72EAFF5C96}"/>
            </c:ext>
          </c:extLst>
        </c:ser>
        <c:dLbls>
          <c:showLegendKey val="0"/>
          <c:showVal val="0"/>
          <c:showCatName val="0"/>
          <c:showSerName val="0"/>
          <c:showPercent val="0"/>
          <c:showBubbleSize val="0"/>
        </c:dLbls>
        <c:axId val="334958784"/>
        <c:axId val="334959568"/>
      </c:areaChart>
      <c:catAx>
        <c:axId val="334958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34959568"/>
        <c:crosses val="autoZero"/>
        <c:auto val="1"/>
        <c:lblAlgn val="ctr"/>
        <c:lblOffset val="100"/>
        <c:tickLblSkip val="50"/>
        <c:tickMarkSkip val="50"/>
        <c:noMultiLvlLbl val="0"/>
      </c:catAx>
      <c:valAx>
        <c:axId val="334959568"/>
        <c:scaling>
          <c:orientation val="minMax"/>
          <c:max val="3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solidFill>
                      <a:schemeClr val="tx1"/>
                    </a:solidFill>
                  </a:rPr>
                  <a:t>in kcal/(cap d)</a:t>
                </a:r>
              </a:p>
            </c:rich>
          </c:tx>
          <c:layout>
            <c:manualLayout>
              <c:xMode val="edge"/>
              <c:yMode val="edge"/>
              <c:x val="0"/>
              <c:y val="9.7140748031496041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34958784"/>
        <c:crosses val="autoZero"/>
        <c:crossBetween val="midCat"/>
        <c:majorUnit val="500"/>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food supply in kcal/(cap</a:t>
            </a:r>
            <a:r>
              <a:rPr lang="en-US" baseline="0">
                <a:solidFill>
                  <a:schemeClr val="tx1"/>
                </a:solidFill>
              </a:rPr>
              <a:t> a)</a:t>
            </a:r>
            <a:endParaRPr lang="en-US">
              <a:solidFill>
                <a:schemeClr val="tx1"/>
              </a:solidFill>
            </a:endParaRPr>
          </a:p>
        </c:rich>
      </c:tx>
      <c:layout>
        <c:manualLayout>
          <c:xMode val="edge"/>
          <c:yMode val="edge"/>
          <c:x val="0.18620785382596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8025371828521428E-2"/>
          <c:y val="0.14726104549431321"/>
          <c:w val="0.87997462817147853"/>
          <c:h val="0.70699857830271218"/>
        </c:manualLayout>
      </c:layout>
      <c:scatterChart>
        <c:scatterStyle val="smoothMarker"/>
        <c:varyColors val="0"/>
        <c:ser>
          <c:idx val="0"/>
          <c:order val="0"/>
          <c:tx>
            <c:v>sum countries</c:v>
          </c:tx>
          <c:spPr>
            <a:ln w="19050" cap="rnd">
              <a:solidFill>
                <a:schemeClr val="accent1"/>
              </a:solidFill>
              <a:round/>
            </a:ln>
            <a:effectLst/>
          </c:spPr>
          <c:marker>
            <c:symbol val="none"/>
          </c:marker>
          <c:xVal>
            <c:numRef>
              <c:f>evaluations!$A$117:$A$173</c:f>
              <c:numCache>
                <c:formatCode>General</c:formatCode>
                <c:ptCount val="57"/>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numCache>
            </c:numRef>
          </c:xVal>
          <c:yVal>
            <c:numRef>
              <c:f>evaluations!$BC$117:$BC$173</c:f>
              <c:numCache>
                <c:formatCode>0</c:formatCode>
                <c:ptCount val="57"/>
                <c:pt idx="0">
                  <c:v>2226.3166389529615</c:v>
                </c:pt>
                <c:pt idx="1">
                  <c:v>2272.4824352165665</c:v>
                </c:pt>
                <c:pt idx="2">
                  <c:v>2283.0829929355323</c:v>
                </c:pt>
                <c:pt idx="3">
                  <c:v>2313.489239721217</c:v>
                </c:pt>
                <c:pt idx="4">
                  <c:v>2336.231417885122</c:v>
                </c:pt>
                <c:pt idx="5">
                  <c:v>2350.7700624232243</c:v>
                </c:pt>
                <c:pt idx="6">
                  <c:v>2353.644771864123</c:v>
                </c:pt>
                <c:pt idx="7">
                  <c:v>2357.5201788088293</c:v>
                </c:pt>
                <c:pt idx="8">
                  <c:v>2365.544515336795</c:v>
                </c:pt>
                <c:pt idx="9">
                  <c:v>2413.23662019932</c:v>
                </c:pt>
                <c:pt idx="10">
                  <c:v>2388.1245484530846</c:v>
                </c:pt>
                <c:pt idx="11">
                  <c:v>2373.9643825032354</c:v>
                </c:pt>
                <c:pt idx="12">
                  <c:v>2411.9541015686109</c:v>
                </c:pt>
                <c:pt idx="13">
                  <c:v>2402.9695145680798</c:v>
                </c:pt>
                <c:pt idx="14">
                  <c:v>2415.9617577769382</c:v>
                </c:pt>
                <c:pt idx="15">
                  <c:v>2409.029708415404</c:v>
                </c:pt>
                <c:pt idx="16">
                  <c:v>2436.1945590052505</c:v>
                </c:pt>
                <c:pt idx="17">
                  <c:v>2492.9036246893943</c:v>
                </c:pt>
                <c:pt idx="18">
                  <c:v>2492.3494144281726</c:v>
                </c:pt>
                <c:pt idx="19">
                  <c:v>2502.0165559045508</c:v>
                </c:pt>
                <c:pt idx="20">
                  <c:v>2511.3523238292501</c:v>
                </c:pt>
                <c:pt idx="21">
                  <c:v>2539.4454906831925</c:v>
                </c:pt>
                <c:pt idx="22">
                  <c:v>2582.6842667817273</c:v>
                </c:pt>
                <c:pt idx="23">
                  <c:v>2590.9235455365051</c:v>
                </c:pt>
                <c:pt idx="24">
                  <c:v>2594.3390819176248</c:v>
                </c:pt>
                <c:pt idx="25">
                  <c:v>2596.2289960988414</c:v>
                </c:pt>
                <c:pt idx="26">
                  <c:v>2611.0214157106602</c:v>
                </c:pt>
                <c:pt idx="27">
                  <c:v>2628.5488282831188</c:v>
                </c:pt>
                <c:pt idx="28">
                  <c:v>2636.025061362508</c:v>
                </c:pt>
                <c:pt idx="29">
                  <c:v>2620.9743745674919</c:v>
                </c:pt>
                <c:pt idx="30">
                  <c:v>2598.0847992054655</c:v>
                </c:pt>
                <c:pt idx="31">
                  <c:v>2604.2340700928939</c:v>
                </c:pt>
                <c:pt idx="32">
                  <c:v>2610.6405964484129</c:v>
                </c:pt>
                <c:pt idx="33">
                  <c:v>2631.7570608808901</c:v>
                </c:pt>
                <c:pt idx="34">
                  <c:v>2657.6354042411717</c:v>
                </c:pt>
                <c:pt idx="35">
                  <c:v>2664.3873066884285</c:v>
                </c:pt>
                <c:pt idx="36">
                  <c:v>2676.0768490052888</c:v>
                </c:pt>
                <c:pt idx="37">
                  <c:v>2690.9095337318331</c:v>
                </c:pt>
                <c:pt idx="38">
                  <c:v>2704.2114309877561</c:v>
                </c:pt>
                <c:pt idx="39">
                  <c:v>2717.5403403993155</c:v>
                </c:pt>
                <c:pt idx="40">
                  <c:v>2715.1559961097191</c:v>
                </c:pt>
                <c:pt idx="41">
                  <c:v>2718.0473485612802</c:v>
                </c:pt>
                <c:pt idx="42">
                  <c:v>2723.7782829088142</c:v>
                </c:pt>
                <c:pt idx="43">
                  <c:v>2733.9016898525651</c:v>
                </c:pt>
                <c:pt idx="44">
                  <c:v>2750.9258430423706</c:v>
                </c:pt>
                <c:pt idx="45">
                  <c:v>2767.9882910969136</c:v>
                </c:pt>
                <c:pt idx="46">
                  <c:v>2793.1907624849132</c:v>
                </c:pt>
                <c:pt idx="47">
                  <c:v>2809.7391521882296</c:v>
                </c:pt>
                <c:pt idx="48">
                  <c:v>2811.6321596517132</c:v>
                </c:pt>
                <c:pt idx="49">
                  <c:v>2835.731915565651</c:v>
                </c:pt>
                <c:pt idx="50">
                  <c:v>2854.8051130689951</c:v>
                </c:pt>
                <c:pt idx="51">
                  <c:v>2863.5702749762959</c:v>
                </c:pt>
                <c:pt idx="52">
                  <c:v>2873.4756826877142</c:v>
                </c:pt>
                <c:pt idx="53">
                  <c:v>3033.5967689241793</c:v>
                </c:pt>
                <c:pt idx="54">
                  <c:v>3022.5964107934706</c:v>
                </c:pt>
                <c:pt idx="55">
                  <c:v>3046.3523053889189</c:v>
                </c:pt>
                <c:pt idx="56">
                  <c:v>3045.8363677336906</c:v>
                </c:pt>
              </c:numCache>
            </c:numRef>
          </c:yVal>
          <c:smooth val="1"/>
          <c:extLst>
            <c:ext xmlns:c16="http://schemas.microsoft.com/office/drawing/2014/chart" uri="{C3380CC4-5D6E-409C-BE32-E72D297353CC}">
              <c16:uniqueId val="{00000000-EEAF-417D-8024-64E63EE7C9B4}"/>
            </c:ext>
          </c:extLst>
        </c:ser>
        <c:ser>
          <c:idx val="1"/>
          <c:order val="1"/>
          <c:tx>
            <c:v>faostat values</c:v>
          </c:tx>
          <c:spPr>
            <a:ln w="19050" cap="rnd">
              <a:solidFill>
                <a:schemeClr val="accent2"/>
              </a:solidFill>
              <a:round/>
            </a:ln>
            <a:effectLst/>
          </c:spPr>
          <c:marker>
            <c:symbol val="none"/>
          </c:marker>
          <c:xVal>
            <c:numRef>
              <c:f>evaluations!$A$117:$A$173</c:f>
              <c:numCache>
                <c:formatCode>General</c:formatCode>
                <c:ptCount val="57"/>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numCache>
            </c:numRef>
          </c:xVal>
          <c:yVal>
            <c:numRef>
              <c:f>evaluations!$BD$117:$BD$173</c:f>
              <c:numCache>
                <c:formatCode>General</c:formatCode>
                <c:ptCount val="57"/>
                <c:pt idx="0">
                  <c:v>2196</c:v>
                </c:pt>
                <c:pt idx="1">
                  <c:v>2243</c:v>
                </c:pt>
                <c:pt idx="2">
                  <c:v>2254</c:v>
                </c:pt>
                <c:pt idx="3">
                  <c:v>2287</c:v>
                </c:pt>
                <c:pt idx="4">
                  <c:v>2310</c:v>
                </c:pt>
                <c:pt idx="5">
                  <c:v>2327</c:v>
                </c:pt>
                <c:pt idx="6">
                  <c:v>2330</c:v>
                </c:pt>
                <c:pt idx="7">
                  <c:v>2334</c:v>
                </c:pt>
                <c:pt idx="8">
                  <c:v>2343</c:v>
                </c:pt>
                <c:pt idx="9">
                  <c:v>2389</c:v>
                </c:pt>
                <c:pt idx="10">
                  <c:v>2365</c:v>
                </c:pt>
                <c:pt idx="11">
                  <c:v>2352</c:v>
                </c:pt>
                <c:pt idx="12">
                  <c:v>2389</c:v>
                </c:pt>
                <c:pt idx="13">
                  <c:v>2381</c:v>
                </c:pt>
                <c:pt idx="14">
                  <c:v>2396</c:v>
                </c:pt>
                <c:pt idx="15">
                  <c:v>2389</c:v>
                </c:pt>
                <c:pt idx="16">
                  <c:v>2418</c:v>
                </c:pt>
                <c:pt idx="17">
                  <c:v>2477</c:v>
                </c:pt>
                <c:pt idx="18">
                  <c:v>2476</c:v>
                </c:pt>
                <c:pt idx="19">
                  <c:v>2490</c:v>
                </c:pt>
                <c:pt idx="20">
                  <c:v>2501</c:v>
                </c:pt>
                <c:pt idx="21">
                  <c:v>2531</c:v>
                </c:pt>
                <c:pt idx="22">
                  <c:v>2575</c:v>
                </c:pt>
                <c:pt idx="23">
                  <c:v>2584</c:v>
                </c:pt>
                <c:pt idx="24">
                  <c:v>2587</c:v>
                </c:pt>
                <c:pt idx="25">
                  <c:v>2589</c:v>
                </c:pt>
                <c:pt idx="26">
                  <c:v>2607</c:v>
                </c:pt>
                <c:pt idx="27">
                  <c:v>2624</c:v>
                </c:pt>
                <c:pt idx="28">
                  <c:v>2635</c:v>
                </c:pt>
                <c:pt idx="29">
                  <c:v>2621</c:v>
                </c:pt>
                <c:pt idx="30">
                  <c:v>2601</c:v>
                </c:pt>
                <c:pt idx="31">
                  <c:v>2610</c:v>
                </c:pt>
                <c:pt idx="32">
                  <c:v>2616</c:v>
                </c:pt>
                <c:pt idx="33">
                  <c:v>2639</c:v>
                </c:pt>
                <c:pt idx="34">
                  <c:v>2663</c:v>
                </c:pt>
                <c:pt idx="35">
                  <c:v>2673</c:v>
                </c:pt>
                <c:pt idx="36">
                  <c:v>2687</c:v>
                </c:pt>
                <c:pt idx="37">
                  <c:v>2701</c:v>
                </c:pt>
                <c:pt idx="38">
                  <c:v>2715</c:v>
                </c:pt>
                <c:pt idx="39">
                  <c:v>2727</c:v>
                </c:pt>
                <c:pt idx="40">
                  <c:v>2725</c:v>
                </c:pt>
                <c:pt idx="41">
                  <c:v>2728</c:v>
                </c:pt>
                <c:pt idx="42">
                  <c:v>2735</c:v>
                </c:pt>
                <c:pt idx="43">
                  <c:v>2747</c:v>
                </c:pt>
                <c:pt idx="44">
                  <c:v>2761</c:v>
                </c:pt>
                <c:pt idx="45">
                  <c:v>2779</c:v>
                </c:pt>
                <c:pt idx="46">
                  <c:v>2807</c:v>
                </c:pt>
                <c:pt idx="47">
                  <c:v>2825</c:v>
                </c:pt>
                <c:pt idx="48">
                  <c:v>2825</c:v>
                </c:pt>
                <c:pt idx="49">
                  <c:v>2850</c:v>
                </c:pt>
                <c:pt idx="50">
                  <c:v>2869</c:v>
                </c:pt>
                <c:pt idx="51">
                  <c:v>2874</c:v>
                </c:pt>
                <c:pt idx="52">
                  <c:v>2884</c:v>
                </c:pt>
                <c:pt idx="53">
                  <c:v>2887.0734434192595</c:v>
                </c:pt>
                <c:pt idx="54">
                  <c:v>2897.9723311818193</c:v>
                </c:pt>
                <c:pt idx="55">
                  <c:v>2905.2883655463197</c:v>
                </c:pt>
                <c:pt idx="56">
                  <c:v>2917.1419435128714</c:v>
                </c:pt>
              </c:numCache>
            </c:numRef>
          </c:yVal>
          <c:smooth val="1"/>
          <c:extLst>
            <c:ext xmlns:c16="http://schemas.microsoft.com/office/drawing/2014/chart" uri="{C3380CC4-5D6E-409C-BE32-E72D297353CC}">
              <c16:uniqueId val="{00000001-EEAF-417D-8024-64E63EE7C9B4}"/>
            </c:ext>
          </c:extLst>
        </c:ser>
        <c:dLbls>
          <c:showLegendKey val="0"/>
          <c:showVal val="0"/>
          <c:showCatName val="0"/>
          <c:showSerName val="0"/>
          <c:showPercent val="0"/>
          <c:showBubbleSize val="0"/>
        </c:dLbls>
        <c:axId val="408578104"/>
        <c:axId val="408577712"/>
      </c:scatterChart>
      <c:valAx>
        <c:axId val="408578104"/>
        <c:scaling>
          <c:orientation val="minMax"/>
          <c:min val="19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crossAx val="408577712"/>
        <c:crosses val="autoZero"/>
        <c:crossBetween val="midCat"/>
      </c:valAx>
      <c:valAx>
        <c:axId val="408577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crossAx val="408578104"/>
        <c:crosses val="autoZero"/>
        <c:crossBetween val="midCat"/>
      </c:valAx>
      <c:spPr>
        <a:noFill/>
        <a:ln>
          <a:noFill/>
        </a:ln>
        <a:effectLst/>
      </c:spPr>
    </c:plotArea>
    <c:legend>
      <c:legendPos val="r"/>
      <c:layout>
        <c:manualLayout>
          <c:xMode val="edge"/>
          <c:yMode val="edge"/>
          <c:x val="0.55762479810216026"/>
          <c:y val="0.58180500874890639"/>
          <c:w val="0.36025735665253389"/>
          <c:h val="0.199770341207349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texts!$A$128</c:f>
          <c:strCache>
            <c:ptCount val="1"/>
            <c:pt idx="0">
              <c:v>global average temperature</c:v>
            </c:pt>
          </c:strCache>
        </c:strRef>
      </c:tx>
      <c:layout>
        <c:manualLayout>
          <c:xMode val="edge"/>
          <c:yMode val="edge"/>
          <c:x val="0.14943442553551775"/>
          <c:y val="2.516404199475065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5412073490813649"/>
          <c:y val="0.13717683727034119"/>
          <c:w val="0.78282279231225127"/>
          <c:h val="0.71708278652668411"/>
        </c:manualLayout>
      </c:layout>
      <c:scatterChart>
        <c:scatterStyle val="smoothMarker"/>
        <c:varyColors val="0"/>
        <c:ser>
          <c:idx val="0"/>
          <c:order val="0"/>
          <c:tx>
            <c:strRef>
              <c:f>data!$CZ$2:$CZ$3</c:f>
              <c:strCache>
                <c:ptCount val="2"/>
                <c:pt idx="0">
                  <c:v>global average temperature shift as compared to preindustrial</c:v>
                </c:pt>
                <c:pt idx="1">
                  <c:v>K (or °C)</c:v>
                </c:pt>
              </c:strCache>
            </c:strRef>
          </c:tx>
          <c:spPr>
            <a:ln w="28575" cap="rnd">
              <a:solidFill>
                <a:schemeClr val="accent1"/>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data!$CZ$6:$CZ$156</c:f>
              <c:numCache>
                <c:formatCode>0.0000</c:formatCode>
                <c:ptCount val="151"/>
                <c:pt idx="0">
                  <c:v>0.26265268872154635</c:v>
                </c:pt>
                <c:pt idx="1">
                  <c:v>0.26935790887423705</c:v>
                </c:pt>
                <c:pt idx="2">
                  <c:v>0.2761569717419482</c:v>
                </c:pt>
                <c:pt idx="3">
                  <c:v>0.28310221428232263</c:v>
                </c:pt>
                <c:pt idx="4">
                  <c:v>0.29015298114754295</c:v>
                </c:pt>
                <c:pt idx="5">
                  <c:v>0.29760533032827452</c:v>
                </c:pt>
                <c:pt idx="6">
                  <c:v>0.30539044654164005</c:v>
                </c:pt>
                <c:pt idx="7">
                  <c:v>0.31341461586450348</c:v>
                </c:pt>
                <c:pt idx="8">
                  <c:v>0.32161912633571177</c:v>
                </c:pt>
                <c:pt idx="9">
                  <c:v>0.33004308810665428</c:v>
                </c:pt>
                <c:pt idx="10">
                  <c:v>0.33841697319884778</c:v>
                </c:pt>
                <c:pt idx="11">
                  <c:v>0.34664816704799384</c:v>
                </c:pt>
                <c:pt idx="12">
                  <c:v>0.35496415265483594</c:v>
                </c:pt>
                <c:pt idx="13">
                  <c:v>0.36346155614147413</c:v>
                </c:pt>
                <c:pt idx="14">
                  <c:v>0.37214279113918169</c:v>
                </c:pt>
                <c:pt idx="15">
                  <c:v>0.38099372698290046</c:v>
                </c:pt>
                <c:pt idx="16">
                  <c:v>0.3900414025415363</c:v>
                </c:pt>
                <c:pt idx="17">
                  <c:v>0.39924818331115142</c:v>
                </c:pt>
                <c:pt idx="18">
                  <c:v>0.40880638735776809</c:v>
                </c:pt>
                <c:pt idx="19">
                  <c:v>0.41884118666080772</c:v>
                </c:pt>
                <c:pt idx="20">
                  <c:v>0.42944574987334505</c:v>
                </c:pt>
                <c:pt idx="21">
                  <c:v>0.44032710789968954</c:v>
                </c:pt>
                <c:pt idx="22">
                  <c:v>0.45153800137833122</c:v>
                </c:pt>
                <c:pt idx="23">
                  <c:v>0.46316867944905771</c:v>
                </c:pt>
                <c:pt idx="24">
                  <c:v>0.4746912565844994</c:v>
                </c:pt>
                <c:pt idx="25">
                  <c:v>0.4861568413911449</c:v>
                </c:pt>
                <c:pt idx="26">
                  <c:v>0.49808111139974343</c:v>
                </c:pt>
                <c:pt idx="27">
                  <c:v>0.51023519980057686</c:v>
                </c:pt>
                <c:pt idx="28">
                  <c:v>0.52268005412240071</c:v>
                </c:pt>
                <c:pt idx="29">
                  <c:v>0.53534575935862483</c:v>
                </c:pt>
                <c:pt idx="30">
                  <c:v>0.54805304505542762</c:v>
                </c:pt>
                <c:pt idx="31">
                  <c:v>0.56050799870843371</c:v>
                </c:pt>
                <c:pt idx="32">
                  <c:v>0.57291745270980021</c:v>
                </c:pt>
                <c:pt idx="33">
                  <c:v>0.58550846203139184</c:v>
                </c:pt>
                <c:pt idx="34">
                  <c:v>0.59847486240508996</c:v>
                </c:pt>
                <c:pt idx="35">
                  <c:v>0.61185760869664185</c:v>
                </c:pt>
                <c:pt idx="36">
                  <c:v>0.62546715716174706</c:v>
                </c:pt>
                <c:pt idx="37">
                  <c:v>0.63951135447110374</c:v>
                </c:pt>
                <c:pt idx="38">
                  <c:v>0.65402765150225206</c:v>
                </c:pt>
                <c:pt idx="39">
                  <c:v>0.6687769721660467</c:v>
                </c:pt>
                <c:pt idx="40">
                  <c:v>0.68373828205882525</c:v>
                </c:pt>
                <c:pt idx="41">
                  <c:v>0.69895391364614123</c:v>
                </c:pt>
                <c:pt idx="42">
                  <c:v>0.71379260355267604</c:v>
                </c:pt>
                <c:pt idx="43">
                  <c:v>0.7287627085073507</c:v>
                </c:pt>
                <c:pt idx="44">
                  <c:v>0.74380843331683244</c:v>
                </c:pt>
                <c:pt idx="45">
                  <c:v>0.75909324769306652</c:v>
                </c:pt>
                <c:pt idx="46">
                  <c:v>0.77472196960049244</c:v>
                </c:pt>
                <c:pt idx="47">
                  <c:v>0.79136677791040755</c:v>
                </c:pt>
                <c:pt idx="48">
                  <c:v>0.80686632483461362</c:v>
                </c:pt>
                <c:pt idx="49">
                  <c:v>0.82248084405705957</c:v>
                </c:pt>
                <c:pt idx="50">
                  <c:v>0.83883292330825898</c:v>
                </c:pt>
                <c:pt idx="51">
                  <c:v>0.8551616908547035</c:v>
                </c:pt>
                <c:pt idx="52">
                  <c:v>0.87216825435520096</c:v>
                </c:pt>
                <c:pt idx="53">
                  <c:v>0.88997104991626497</c:v>
                </c:pt>
                <c:pt idx="54">
                  <c:v>0.9083867599111024</c:v>
                </c:pt>
                <c:pt idx="55">
                  <c:v>0.92710151126750873</c:v>
                </c:pt>
                <c:pt idx="56">
                  <c:v>0.94644549874020911</c:v>
                </c:pt>
                <c:pt idx="57">
                  <c:v>0.96592002081293404</c:v>
                </c:pt>
                <c:pt idx="58">
                  <c:v>0.9859070470088015</c:v>
                </c:pt>
                <c:pt idx="59">
                  <c:v>1.0060527535252211</c:v>
                </c:pt>
                <c:pt idx="60">
                  <c:v>1.0268405613236118</c:v>
                </c:pt>
                <c:pt idx="61">
                  <c:v>1.0481527878007102</c:v>
                </c:pt>
                <c:pt idx="62">
                  <c:v>1.0699996806589995</c:v>
                </c:pt>
                <c:pt idx="63">
                  <c:v>1.0920378333655112</c:v>
                </c:pt>
                <c:pt idx="64">
                  <c:v>1.1145003443762853</c:v>
                </c:pt>
                <c:pt idx="65">
                  <c:v>1.1370587846259106</c:v>
                </c:pt>
                <c:pt idx="66">
                  <c:v>1.15936291749059</c:v>
                </c:pt>
                <c:pt idx="67">
                  <c:v>1.1817650819638303</c:v>
                </c:pt>
                <c:pt idx="68">
                  <c:v>1.2046611437229922</c:v>
                </c:pt>
                <c:pt idx="69">
                  <c:v>1.2275110603040726</c:v>
                </c:pt>
                <c:pt idx="70">
                  <c:v>1.2506654671956006</c:v>
                </c:pt>
                <c:pt idx="71">
                  <c:v>1.2740519576457701</c:v>
                </c:pt>
                <c:pt idx="72">
                  <c:v>1.2977967241897779</c:v>
                </c:pt>
                <c:pt idx="73">
                  <c:v>1.3218460354722716</c:v>
                </c:pt>
                <c:pt idx="74">
                  <c:v>1.3461360393436361</c:v>
                </c:pt>
                <c:pt idx="75">
                  <c:v>1.3705909158840499</c:v>
                </c:pt>
                <c:pt idx="76">
                  <c:v>1.3951204568817657</c:v>
                </c:pt>
                <c:pt idx="77">
                  <c:v>1.4196173689282325</c:v>
                </c:pt>
                <c:pt idx="78">
                  <c:v>1.4439542787487945</c:v>
                </c:pt>
                <c:pt idx="79">
                  <c:v>1.4679798399639488</c:v>
                </c:pt>
                <c:pt idx="80">
                  <c:v>1.4916401710990712</c:v>
                </c:pt>
                <c:pt idx="81">
                  <c:v>1.51491640928506</c:v>
                </c:pt>
                <c:pt idx="82">
                  <c:v>1.5377892613020729</c:v>
                </c:pt>
                <c:pt idx="83">
                  <c:v>1.5602385261975817</c:v>
                </c:pt>
                <c:pt idx="84">
                  <c:v>1.5822428124309453</c:v>
                </c:pt>
                <c:pt idx="85">
                  <c:v>1.6037798828100231</c:v>
                </c:pt>
                <c:pt idx="86">
                  <c:v>1.6248271956472164</c:v>
                </c:pt>
                <c:pt idx="87">
                  <c:v>1.6453624719814037</c:v>
                </c:pt>
                <c:pt idx="88">
                  <c:v>1.6653638759282956</c:v>
                </c:pt>
                <c:pt idx="89">
                  <c:v>1.6848102889331722</c:v>
                </c:pt>
                <c:pt idx="90">
                  <c:v>1.7039698150864893</c:v>
                </c:pt>
                <c:pt idx="91">
                  <c:v>1.7223229301055358</c:v>
                </c:pt>
                <c:pt idx="92">
                  <c:v>1.7400155324701081</c:v>
                </c:pt>
                <c:pt idx="93">
                  <c:v>1.7575312886500631</c:v>
                </c:pt>
                <c:pt idx="94">
                  <c:v>1.7742790890916462</c:v>
                </c:pt>
                <c:pt idx="95">
                  <c:v>1.7903049723429789</c:v>
                </c:pt>
                <c:pt idx="96">
                  <c:v>1.8055905573142259</c:v>
                </c:pt>
                <c:pt idx="97">
                  <c:v>1.8201134561812757</c:v>
                </c:pt>
                <c:pt idx="98">
                  <c:v>1.8331076726570397</c:v>
                </c:pt>
                <c:pt idx="99">
                  <c:v>1.8445471087963012</c:v>
                </c:pt>
                <c:pt idx="100">
                  <c:v>1.8544069245645805</c:v>
                </c:pt>
                <c:pt idx="101">
                  <c:v>1.8627101271093112</c:v>
                </c:pt>
                <c:pt idx="102">
                  <c:v>1.8693479077296535</c:v>
                </c:pt>
                <c:pt idx="103">
                  <c:v>1.874489452025967</c:v>
                </c:pt>
                <c:pt idx="104">
                  <c:v>1.8788115646469981</c:v>
                </c:pt>
                <c:pt idx="105">
                  <c:v>1.8823121409532506</c:v>
                </c:pt>
                <c:pt idx="106">
                  <c:v>1.8849901258993107</c:v>
                </c:pt>
                <c:pt idx="107">
                  <c:v>1.8868455869724654</c:v>
                </c:pt>
                <c:pt idx="108">
                  <c:v>1.8878797557686791</c:v>
                </c:pt>
                <c:pt idx="109">
                  <c:v>1.8880950601468962</c:v>
                </c:pt>
                <c:pt idx="110">
                  <c:v>1.8874951171838212</c:v>
                </c:pt>
                <c:pt idx="111">
                  <c:v>1.8860847072055935</c:v>
                </c:pt>
                <c:pt idx="112">
                  <c:v>1.8838697384789413</c:v>
                </c:pt>
                <c:pt idx="113">
                  <c:v>1.8808572243798447</c:v>
                </c:pt>
                <c:pt idx="114">
                  <c:v>1.8770553034007045</c:v>
                </c:pt>
                <c:pt idx="115">
                  <c:v>1.8724732890068856</c:v>
                </c:pt>
                <c:pt idx="116">
                  <c:v>1.8671217371385849</c:v>
                </c:pt>
                <c:pt idx="117">
                  <c:v>1.8610124830578028</c:v>
                </c:pt>
                <c:pt idx="118">
                  <c:v>1.8541586433875592</c:v>
                </c:pt>
                <c:pt idx="119">
                  <c:v>1.8465746354566819</c:v>
                </c:pt>
                <c:pt idx="120">
                  <c:v>1.8382761931551022</c:v>
                </c:pt>
                <c:pt idx="121">
                  <c:v>1.8291903006609467</c:v>
                </c:pt>
                <c:pt idx="122">
                  <c:v>1.8193354905205965</c:v>
                </c:pt>
                <c:pt idx="123">
                  <c:v>1.8087316515723775</c:v>
                </c:pt>
                <c:pt idx="124">
                  <c:v>1.7974000440752436</c:v>
                </c:pt>
                <c:pt idx="125">
                  <c:v>1.7853632875891796</c:v>
                </c:pt>
                <c:pt idx="126">
                  <c:v>1.7726453273776106</c:v>
                </c:pt>
                <c:pt idx="127">
                  <c:v>1.7592044825999869</c:v>
                </c:pt>
                <c:pt idx="128">
                  <c:v>1.7455920347923826</c:v>
                </c:pt>
                <c:pt idx="129">
                  <c:v>1.7318084466498811</c:v>
                </c:pt>
                <c:pt idx="130">
                  <c:v>1.7178542115513595</c:v>
                </c:pt>
                <c:pt idx="131">
                  <c:v>1.7037298374576726</c:v>
                </c:pt>
                <c:pt idx="132">
                  <c:v>1.6894358586276674</c:v>
                </c:pt>
                <c:pt idx="133">
                  <c:v>1.6749728593808577</c:v>
                </c:pt>
                <c:pt idx="134">
                  <c:v>1.6603414739350271</c:v>
                </c:pt>
                <c:pt idx="135">
                  <c:v>1.6455423689906015</c:v>
                </c:pt>
                <c:pt idx="136">
                  <c:v>1.6305762162178519</c:v>
                </c:pt>
                <c:pt idx="137">
                  <c:v>1.6154436706860846</c:v>
                </c:pt>
                <c:pt idx="138">
                  <c:v>1.6001453578191156</c:v>
                </c:pt>
                <c:pt idx="139">
                  <c:v>1.5846818547701045</c:v>
                </c:pt>
                <c:pt idx="140">
                  <c:v>1.5690536883693658</c:v>
                </c:pt>
                <c:pt idx="141">
                  <c:v>1.5532613434919</c:v>
                </c:pt>
                <c:pt idx="142">
                  <c:v>1.5373052737848993</c:v>
                </c:pt>
                <c:pt idx="143">
                  <c:v>1.5211859042938831</c:v>
                </c:pt>
                <c:pt idx="144">
                  <c:v>1.5049036256814394</c:v>
                </c:pt>
                <c:pt idx="145">
                  <c:v>1.4884587872183588</c:v>
                </c:pt>
                <c:pt idx="146">
                  <c:v>1.4718642875850323</c:v>
                </c:pt>
                <c:pt idx="147">
                  <c:v>1.4551760667623816</c:v>
                </c:pt>
                <c:pt idx="148">
                  <c:v>1.4383942863129113</c:v>
                </c:pt>
                <c:pt idx="149">
                  <c:v>1.421519049356168</c:v>
                </c:pt>
                <c:pt idx="150">
                  <c:v>1.4045503950728671</c:v>
                </c:pt>
              </c:numCache>
            </c:numRef>
          </c:yVal>
          <c:smooth val="1"/>
          <c:extLst>
            <c:ext xmlns:c16="http://schemas.microsoft.com/office/drawing/2014/chart" uri="{C3380CC4-5D6E-409C-BE32-E72D297353CC}">
              <c16:uniqueId val="{00000000-40A2-4E4D-AA8E-A89F1590A063}"/>
            </c:ext>
          </c:extLst>
        </c:ser>
        <c:ser>
          <c:idx val="1"/>
          <c:order val="1"/>
          <c:tx>
            <c:strRef>
              <c:f>data!#REF!</c:f>
              <c:strCache>
                <c:ptCount val="1"/>
                <c:pt idx="0">
                  <c:v>#REF!</c:v>
                </c:pt>
              </c:strCache>
            </c:strRef>
          </c:tx>
          <c:spPr>
            <a:ln w="28575" cap="rnd">
              <a:solidFill>
                <a:schemeClr val="accent2"/>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data!#REF!</c:f>
              <c:numCache>
                <c:formatCode>General</c:formatCode>
                <c:ptCount val="1"/>
                <c:pt idx="0">
                  <c:v>1</c:v>
                </c:pt>
              </c:numCache>
            </c:numRef>
          </c:yVal>
          <c:smooth val="1"/>
          <c:extLst>
            <c:ext xmlns:c16="http://schemas.microsoft.com/office/drawing/2014/chart" uri="{C3380CC4-5D6E-409C-BE32-E72D297353CC}">
              <c16:uniqueId val="{00000001-40A2-4E4D-AA8E-A89F1590A063}"/>
            </c:ext>
          </c:extLst>
        </c:ser>
        <c:dLbls>
          <c:showLegendKey val="0"/>
          <c:showVal val="0"/>
          <c:showCatName val="0"/>
          <c:showSerName val="0"/>
          <c:showPercent val="0"/>
          <c:showBubbleSize val="0"/>
        </c:dLbls>
        <c:axId val="334964272"/>
        <c:axId val="408149920"/>
      </c:scatterChart>
      <c:valAx>
        <c:axId val="334964272"/>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149920"/>
        <c:crosses val="autoZero"/>
        <c:crossBetween val="midCat"/>
      </c:valAx>
      <c:valAx>
        <c:axId val="408149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in °C</a:t>
                </a:r>
              </a:p>
            </c:rich>
          </c:tx>
          <c:layout>
            <c:manualLayout>
              <c:xMode val="edge"/>
              <c:yMode val="edge"/>
              <c:x val="0"/>
              <c:y val="0.101739938757655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de-DE"/>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34964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texts!$A$185</c:f>
          <c:strCache>
            <c:ptCount val="1"/>
            <c:pt idx="0">
              <c:v>area demand</c:v>
            </c:pt>
          </c:strCache>
        </c:strRef>
      </c:tx>
      <c:layout>
        <c:manualLayout>
          <c:xMode val="edge"/>
          <c:yMode val="edge"/>
          <c:x val="9.5593920692345888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0094080300773213"/>
          <c:y val="0.13447121820615798"/>
          <c:w val="0.55525289068596151"/>
          <c:h val="0.71885283917823528"/>
        </c:manualLayout>
      </c:layout>
      <c:areaChart>
        <c:grouping val="stacked"/>
        <c:varyColors val="0"/>
        <c:ser>
          <c:idx val="0"/>
          <c:order val="0"/>
          <c:tx>
            <c:strRef>
              <c:f>texts!$A$175</c:f>
              <c:strCache>
                <c:ptCount val="1"/>
                <c:pt idx="0">
                  <c:v>cropland</c:v>
                </c:pt>
              </c:strCache>
            </c:strRef>
          </c:tx>
          <c:spPr>
            <a:solidFill>
              <a:srgbClr val="00B05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data!$HN$6:$HN$156</c:f>
              <c:numCache>
                <c:formatCode>0</c:formatCode>
                <c:ptCount val="151"/>
                <c:pt idx="40">
                  <c:v>2789.4635854221383</c:v>
                </c:pt>
                <c:pt idx="41">
                  <c:v>2751.055256996041</c:v>
                </c:pt>
                <c:pt idx="42">
                  <c:v>2702.1757161647743</c:v>
                </c:pt>
                <c:pt idx="43">
                  <c:v>2663.1518555415573</c:v>
                </c:pt>
                <c:pt idx="44">
                  <c:v>2622.9313857809466</c:v>
                </c:pt>
                <c:pt idx="45">
                  <c:v>2586.2585842548147</c:v>
                </c:pt>
                <c:pt idx="46">
                  <c:v>2551.1003081303302</c:v>
                </c:pt>
                <c:pt idx="47">
                  <c:v>2525.4951598175171</c:v>
                </c:pt>
                <c:pt idx="48">
                  <c:v>2493.3797241804014</c:v>
                </c:pt>
                <c:pt idx="49">
                  <c:v>2466.5660140708992</c:v>
                </c:pt>
                <c:pt idx="50">
                  <c:v>2429.0937162540049</c:v>
                </c:pt>
                <c:pt idx="51">
                  <c:v>2393.268266030218</c:v>
                </c:pt>
                <c:pt idx="52">
                  <c:v>2357.2865754680042</c:v>
                </c:pt>
                <c:pt idx="53">
                  <c:v>2335.231852819235</c:v>
                </c:pt>
                <c:pt idx="54">
                  <c:v>2316.8704088699365</c:v>
                </c:pt>
                <c:pt idx="55">
                  <c:v>2296.8073989831291</c:v>
                </c:pt>
                <c:pt idx="56">
                  <c:v>2258.6760521327351</c:v>
                </c:pt>
                <c:pt idx="57">
                  <c:v>2234.5701356932195</c:v>
                </c:pt>
                <c:pt idx="58">
                  <c:v>2209.671919866184</c:v>
                </c:pt>
                <c:pt idx="59">
                  <c:v>2186.2984771978422</c:v>
                </c:pt>
                <c:pt idx="60">
                  <c:v>2164.6949228346598</c:v>
                </c:pt>
                <c:pt idx="61">
                  <c:v>2158.7220771554807</c:v>
                </c:pt>
                <c:pt idx="62">
                  <c:v>2147.1647494618287</c:v>
                </c:pt>
                <c:pt idx="63">
                  <c:v>2125.6308686107632</c:v>
                </c:pt>
              </c:numCache>
            </c:numRef>
          </c:val>
          <c:extLst>
            <c:ext xmlns:c16="http://schemas.microsoft.com/office/drawing/2014/chart" uri="{C3380CC4-5D6E-409C-BE32-E72D297353CC}">
              <c16:uniqueId val="{00000000-904B-46D1-8E42-2F21DE9458D8}"/>
            </c:ext>
          </c:extLst>
        </c:ser>
        <c:ser>
          <c:idx val="1"/>
          <c:order val="1"/>
          <c:tx>
            <c:strRef>
              <c:f>texts!$A$176</c:f>
              <c:strCache>
                <c:ptCount val="1"/>
                <c:pt idx="0">
                  <c:v>pasture</c:v>
                </c:pt>
              </c:strCache>
            </c:strRef>
          </c:tx>
          <c:spPr>
            <a:solidFill>
              <a:srgbClr val="FF99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data!$HO$6:$HO$156</c:f>
              <c:numCache>
                <c:formatCode>0</c:formatCode>
                <c:ptCount val="151"/>
                <c:pt idx="40">
                  <c:v>6254.8141696037874</c:v>
                </c:pt>
                <c:pt idx="41">
                  <c:v>6156.4829365530795</c:v>
                </c:pt>
                <c:pt idx="42">
                  <c:v>6137.716834712216</c:v>
                </c:pt>
                <c:pt idx="43">
                  <c:v>6016.1463828980241</c:v>
                </c:pt>
                <c:pt idx="44">
                  <c:v>5966.3084407829547</c:v>
                </c:pt>
                <c:pt idx="45">
                  <c:v>5878.9236421986188</c:v>
                </c:pt>
                <c:pt idx="46">
                  <c:v>5814.5815581140505</c:v>
                </c:pt>
                <c:pt idx="47">
                  <c:v>5761.2786138721613</c:v>
                </c:pt>
                <c:pt idx="48">
                  <c:v>5707.3614851150915</c:v>
                </c:pt>
                <c:pt idx="49">
                  <c:v>5631.7755639497964</c:v>
                </c:pt>
                <c:pt idx="50">
                  <c:v>5571.5053812817341</c:v>
                </c:pt>
                <c:pt idx="51">
                  <c:v>5499.1834765472931</c:v>
                </c:pt>
                <c:pt idx="52">
                  <c:v>5414.9020075202498</c:v>
                </c:pt>
                <c:pt idx="53">
                  <c:v>5315.1766561477361</c:v>
                </c:pt>
                <c:pt idx="54">
                  <c:v>5182.8362331759727</c:v>
                </c:pt>
                <c:pt idx="55">
                  <c:v>5125.9910031652244</c:v>
                </c:pt>
                <c:pt idx="56">
                  <c:v>5066.7367131091287</c:v>
                </c:pt>
                <c:pt idx="57">
                  <c:v>4993.2896401663183</c:v>
                </c:pt>
                <c:pt idx="58">
                  <c:v>4915.7965983921085</c:v>
                </c:pt>
                <c:pt idx="59">
                  <c:v>4843.412654338631</c:v>
                </c:pt>
                <c:pt idx="60">
                  <c:v>4786.6039980429068</c:v>
                </c:pt>
                <c:pt idx="61">
                  <c:v>4684.3612479683634</c:v>
                </c:pt>
                <c:pt idx="62">
                  <c:v>4615.7482749341098</c:v>
                </c:pt>
                <c:pt idx="63">
                  <c:v>4541.84068897414</c:v>
                </c:pt>
              </c:numCache>
            </c:numRef>
          </c:val>
          <c:extLst>
            <c:ext xmlns:c16="http://schemas.microsoft.com/office/drawing/2014/chart" uri="{C3380CC4-5D6E-409C-BE32-E72D297353CC}">
              <c16:uniqueId val="{00000001-904B-46D1-8E42-2F21DE9458D8}"/>
            </c:ext>
          </c:extLst>
        </c:ser>
        <c:ser>
          <c:idx val="2"/>
          <c:order val="2"/>
          <c:tx>
            <c:strRef>
              <c:f>texts!$A$177</c:f>
              <c:strCache>
                <c:ptCount val="1"/>
                <c:pt idx="0">
                  <c:v>vegetal food</c:v>
                </c:pt>
              </c:strCache>
            </c:strRef>
          </c:tx>
          <c:spPr>
            <a:solidFill>
              <a:srgbClr val="00B05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data!$HQ$6:$HQ$156</c:f>
              <c:numCache>
                <c:formatCode>0</c:formatCode>
                <c:ptCount val="151"/>
                <c:pt idx="64">
                  <c:v>1426.9701114788629</c:v>
                </c:pt>
                <c:pt idx="65">
                  <c:v>1412.3991870887414</c:v>
                </c:pt>
                <c:pt idx="66">
                  <c:v>1398.1313823812188</c:v>
                </c:pt>
                <c:pt idx="67">
                  <c:v>1384.3379993419949</c:v>
                </c:pt>
                <c:pt idx="68">
                  <c:v>1371.2589793541922</c:v>
                </c:pt>
                <c:pt idx="69">
                  <c:v>1357.728483297675</c:v>
                </c:pt>
                <c:pt idx="70">
                  <c:v>1344.501047378405</c:v>
                </c:pt>
                <c:pt idx="71">
                  <c:v>1331.560646377058</c:v>
                </c:pt>
                <c:pt idx="72">
                  <c:v>1321.2895042034697</c:v>
                </c:pt>
                <c:pt idx="73">
                  <c:v>1311.2453099346346</c:v>
                </c:pt>
                <c:pt idx="74">
                  <c:v>1301.4198555014341</c:v>
                </c:pt>
                <c:pt idx="75">
                  <c:v>1291.805283575253</c:v>
                </c:pt>
                <c:pt idx="76">
                  <c:v>1282.3941167866217</c:v>
                </c:pt>
                <c:pt idx="77">
                  <c:v>1273.1791942838513</c:v>
                </c:pt>
                <c:pt idx="78">
                  <c:v>1264.1536159191096</c:v>
                </c:pt>
                <c:pt idx="79">
                  <c:v>1255.3107887179415</c:v>
                </c:pt>
                <c:pt idx="80">
                  <c:v>1246.6444493214035</c:v>
                </c:pt>
                <c:pt idx="81">
                  <c:v>1238.1486622125663</c:v>
                </c:pt>
                <c:pt idx="82">
                  <c:v>1229.8178139973049</c:v>
                </c:pt>
                <c:pt idx="83">
                  <c:v>1221.6465813378043</c:v>
                </c:pt>
                <c:pt idx="84">
                  <c:v>1213.6298753811964</c:v>
                </c:pt>
                <c:pt idx="85">
                  <c:v>1205.7627608924545</c:v>
                </c:pt>
                <c:pt idx="86">
                  <c:v>1198.0404477907682</c:v>
                </c:pt>
                <c:pt idx="87">
                  <c:v>1190.4583028071047</c:v>
                </c:pt>
                <c:pt idx="88">
                  <c:v>1183.0118874213904</c:v>
                </c:pt>
                <c:pt idx="89">
                  <c:v>1175.6969462664629</c:v>
                </c:pt>
                <c:pt idx="90">
                  <c:v>1168.5094262582936</c:v>
                </c:pt>
                <c:pt idx="91">
                  <c:v>1161.4454739961946</c:v>
                </c:pt>
                <c:pt idx="92">
                  <c:v>1154.5014018355821</c:v>
                </c:pt>
                <c:pt idx="93">
                  <c:v>1147.6736605930282</c:v>
                </c:pt>
                <c:pt idx="94">
                  <c:v>1140.9588466812277</c:v>
                </c:pt>
                <c:pt idx="95">
                  <c:v>1134.353696254333</c:v>
                </c:pt>
                <c:pt idx="96">
                  <c:v>1127.8550785662173</c:v>
                </c:pt>
                <c:pt idx="97">
                  <c:v>1121.4599857723258</c:v>
                </c:pt>
                <c:pt idx="98">
                  <c:v>1115.1655258145665</c:v>
                </c:pt>
                <c:pt idx="99">
                  <c:v>1108.9689186024166</c:v>
                </c:pt>
                <c:pt idx="100">
                  <c:v>1102.867490932834</c:v>
                </c:pt>
                <c:pt idx="101">
                  <c:v>1096.8586703073699</c:v>
                </c:pt>
                <c:pt idx="102">
                  <c:v>1089.0439674729294</c:v>
                </c:pt>
                <c:pt idx="103">
                  <c:v>1081.3411897355772</c:v>
                </c:pt>
                <c:pt idx="104">
                  <c:v>1073.7473714623513</c:v>
                </c:pt>
                <c:pt idx="105">
                  <c:v>1066.2596489783446</c:v>
                </c:pt>
                <c:pt idx="106">
                  <c:v>1058.8752562923767</c:v>
                </c:pt>
                <c:pt idx="107">
                  <c:v>1051.5915210338219</c:v>
                </c:pt>
                <c:pt idx="108">
                  <c:v>1044.4058605885775</c:v>
                </c:pt>
                <c:pt idx="109">
                  <c:v>1037.3157784229331</c:v>
                </c:pt>
                <c:pt idx="110">
                  <c:v>1030.3188605848211</c:v>
                </c:pt>
                <c:pt idx="111">
                  <c:v>1023.4127723725879</c:v>
                </c:pt>
                <c:pt idx="112">
                  <c:v>1016.5952551620589</c:v>
                </c:pt>
                <c:pt idx="113">
                  <c:v>1009.8641233832271</c:v>
                </c:pt>
                <c:pt idx="114">
                  <c:v>1003.2172616384466</c:v>
                </c:pt>
                <c:pt idx="115">
                  <c:v>996.65262195450737</c:v>
                </c:pt>
                <c:pt idx="116">
                  <c:v>990.16822116142669</c:v>
                </c:pt>
                <c:pt idx="117">
                  <c:v>983.76213839123398</c:v>
                </c:pt>
                <c:pt idx="118">
                  <c:v>977.43251269042378</c:v>
                </c:pt>
                <c:pt idx="119">
                  <c:v>971.17754074013089</c:v>
                </c:pt>
                <c:pt idx="120">
                  <c:v>964.99547467843854</c:v>
                </c:pt>
                <c:pt idx="121">
                  <c:v>958.70584892325599</c:v>
                </c:pt>
                <c:pt idx="122">
                  <c:v>952.48885141532355</c:v>
                </c:pt>
                <c:pt idx="123">
                  <c:v>946.34280414365799</c:v>
                </c:pt>
                <c:pt idx="124">
                  <c:v>940.26607981970358</c:v>
                </c:pt>
                <c:pt idx="125">
                  <c:v>934.25710000730567</c:v>
                </c:pt>
                <c:pt idx="126">
                  <c:v>928.31433333363236</c:v>
                </c:pt>
                <c:pt idx="127">
                  <c:v>922.43629377703326</c:v>
                </c:pt>
                <c:pt idx="128">
                  <c:v>916.62153902803095</c:v>
                </c:pt>
                <c:pt idx="129">
                  <c:v>910.86866891986563</c:v>
                </c:pt>
                <c:pt idx="130">
                  <c:v>905.17632392520454</c:v>
                </c:pt>
                <c:pt idx="131">
                  <c:v>899.54318371581394</c:v>
                </c:pt>
                <c:pt idx="132">
                  <c:v>893.96796578217277</c:v>
                </c:pt>
                <c:pt idx="133">
                  <c:v>888.44942411016211</c:v>
                </c:pt>
                <c:pt idx="134">
                  <c:v>882.98634791212396</c:v>
                </c:pt>
                <c:pt idx="135">
                  <c:v>877.57756040973175</c:v>
                </c:pt>
                <c:pt idx="136">
                  <c:v>872.22191766623689</c:v>
                </c:pt>
                <c:pt idx="137">
                  <c:v>866.91830746580308</c:v>
                </c:pt>
                <c:pt idx="138">
                  <c:v>861.66564823774718</c:v>
                </c:pt>
                <c:pt idx="139">
                  <c:v>856.46288802362108</c:v>
                </c:pt>
                <c:pt idx="140">
                  <c:v>851.30900348518367</c:v>
                </c:pt>
                <c:pt idx="141">
                  <c:v>846.20299895139738</c:v>
                </c:pt>
                <c:pt idx="142">
                  <c:v>841.14390550270195</c:v>
                </c:pt>
                <c:pt idx="143">
                  <c:v>836.13078009088247</c:v>
                </c:pt>
                <c:pt idx="144">
                  <c:v>831.16270469295057</c:v>
                </c:pt>
                <c:pt idx="145">
                  <c:v>826.23878549753249</c:v>
                </c:pt>
                <c:pt idx="146">
                  <c:v>821.35815212232876</c:v>
                </c:pt>
                <c:pt idx="147">
                  <c:v>816.51995686128987</c:v>
                </c:pt>
                <c:pt idx="148">
                  <c:v>811.72337396021067</c:v>
                </c:pt>
                <c:pt idx="149">
                  <c:v>806.9675989195149</c:v>
                </c:pt>
                <c:pt idx="150">
                  <c:v>802.2518478230636</c:v>
                </c:pt>
              </c:numCache>
            </c:numRef>
          </c:val>
          <c:extLst>
            <c:ext xmlns:c16="http://schemas.microsoft.com/office/drawing/2014/chart" uri="{C3380CC4-5D6E-409C-BE32-E72D297353CC}">
              <c16:uniqueId val="{00000002-904B-46D1-8E42-2F21DE9458D8}"/>
            </c:ext>
          </c:extLst>
        </c:ser>
        <c:ser>
          <c:idx val="3"/>
          <c:order val="3"/>
          <c:tx>
            <c:strRef>
              <c:f>texts!$A$178</c:f>
              <c:strCache>
                <c:ptCount val="1"/>
                <c:pt idx="0">
                  <c:v>bio-fuels</c:v>
                </c:pt>
              </c:strCache>
            </c:strRef>
          </c:tx>
          <c:spPr>
            <a:solidFill>
              <a:srgbClr val="C000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data!$HR$6:$HR$156</c:f>
              <c:numCache>
                <c:formatCode>0</c:formatCode>
                <c:ptCount val="151"/>
                <c:pt idx="64">
                  <c:v>152.94365154326329</c:v>
                </c:pt>
                <c:pt idx="65">
                  <c:v>155.49593425802323</c:v>
                </c:pt>
                <c:pt idx="66">
                  <c:v>157.46412575221561</c:v>
                </c:pt>
                <c:pt idx="67">
                  <c:v>161.28260499497773</c:v>
                </c:pt>
                <c:pt idx="68">
                  <c:v>170.33531003617159</c:v>
                </c:pt>
                <c:pt idx="69">
                  <c:v>169.27312083883734</c:v>
                </c:pt>
                <c:pt idx="70">
                  <c:v>168.23570069819507</c:v>
                </c:pt>
                <c:pt idx="71">
                  <c:v>167.22219321953466</c:v>
                </c:pt>
                <c:pt idx="72">
                  <c:v>186.6263004568531</c:v>
                </c:pt>
                <c:pt idx="73">
                  <c:v>205.81517604697336</c:v>
                </c:pt>
                <c:pt idx="74">
                  <c:v>224.7960129653938</c:v>
                </c:pt>
                <c:pt idx="75">
                  <c:v>243.57568720275142</c:v>
                </c:pt>
                <c:pt idx="76">
                  <c:v>262.16077503591913</c:v>
                </c:pt>
                <c:pt idx="77">
                  <c:v>280.55756918204639</c:v>
                </c:pt>
                <c:pt idx="78">
                  <c:v>298.77209391893234</c:v>
                </c:pt>
                <c:pt idx="79">
                  <c:v>316.81011924808558</c:v>
                </c:pt>
                <c:pt idx="80">
                  <c:v>334.67717417044196</c:v>
                </c:pt>
                <c:pt idx="81">
                  <c:v>352.37855913893111</c:v>
                </c:pt>
                <c:pt idx="82">
                  <c:v>369.91935774682685</c:v>
                </c:pt>
                <c:pt idx="83">
                  <c:v>387.30444770604527</c:v>
                </c:pt>
                <c:pt idx="84">
                  <c:v>404.53851116520889</c:v>
                </c:pt>
                <c:pt idx="85">
                  <c:v>421.62604441334167</c:v>
                </c:pt>
                <c:pt idx="86">
                  <c:v>438.57136701145561</c:v>
                </c:pt>
                <c:pt idx="87">
                  <c:v>455.3786303909929</c:v>
                </c:pt>
                <c:pt idx="88">
                  <c:v>472.05182595509746</c:v>
                </c:pt>
                <c:pt idx="89">
                  <c:v>488.59479271592375</c:v>
                </c:pt>
                <c:pt idx="90">
                  <c:v>505.01122449869871</c:v>
                </c:pt>
                <c:pt idx="91">
                  <c:v>521.3046767409345</c:v>
                </c:pt>
                <c:pt idx="92">
                  <c:v>537.47857291309458</c:v>
                </c:pt>
                <c:pt idx="93">
                  <c:v>553.53621058507088</c:v>
                </c:pt>
                <c:pt idx="94">
                  <c:v>569.48076716106289</c:v>
                </c:pt>
                <c:pt idx="95">
                  <c:v>585.31530530381076</c:v>
                </c:pt>
                <c:pt idx="96">
                  <c:v>601.04277806764105</c:v>
                </c:pt>
                <c:pt idx="97">
                  <c:v>616.66603375839895</c:v>
                </c:pt>
                <c:pt idx="98">
                  <c:v>632.18782053707127</c:v>
                </c:pt>
                <c:pt idx="99">
                  <c:v>647.6107907827344</c:v>
                </c:pt>
                <c:pt idx="100">
                  <c:v>662.93750522937842</c:v>
                </c:pt>
                <c:pt idx="101">
                  <c:v>678.17043689016475</c:v>
                </c:pt>
                <c:pt idx="102">
                  <c:v>675.60322144786164</c:v>
                </c:pt>
                <c:pt idx="103">
                  <c:v>673.07923697201284</c:v>
                </c:pt>
                <c:pt idx="104">
                  <c:v>670.59740058978025</c:v>
                </c:pt>
                <c:pt idx="105">
                  <c:v>668.15666529471264</c:v>
                </c:pt>
                <c:pt idx="106">
                  <c:v>665.75601847400264</c:v>
                </c:pt>
                <c:pt idx="107">
                  <c:v>663.39448050772376</c:v>
                </c:pt>
                <c:pt idx="108">
                  <c:v>661.07110343597208</c:v>
                </c:pt>
                <c:pt idx="109">
                  <c:v>658.78496969010496</c:v>
                </c:pt>
                <c:pt idx="110">
                  <c:v>656.53519088450832</c:v>
                </c:pt>
                <c:pt idx="111">
                  <c:v>654.32090666554996</c:v>
                </c:pt>
                <c:pt idx="112">
                  <c:v>652.14128361458904</c:v>
                </c:pt>
                <c:pt idx="113">
                  <c:v>649.99551420209616</c:v>
                </c:pt>
                <c:pt idx="114">
                  <c:v>647.88281579013596</c:v>
                </c:pt>
                <c:pt idx="115">
                  <c:v>645.80242968061532</c:v>
                </c:pt>
                <c:pt idx="116">
                  <c:v>643.75362020687021</c:v>
                </c:pt>
                <c:pt idx="117">
                  <c:v>641.73567386630748</c:v>
                </c:pt>
                <c:pt idx="118">
                  <c:v>639.74789849194815</c:v>
                </c:pt>
                <c:pt idx="119">
                  <c:v>637.78962246085598</c:v>
                </c:pt>
                <c:pt idx="120">
                  <c:v>635.8601939375485</c:v>
                </c:pt>
                <c:pt idx="121">
                  <c:v>631.21098627953938</c:v>
                </c:pt>
                <c:pt idx="122">
                  <c:v>626.62927218772427</c:v>
                </c:pt>
                <c:pt idx="123">
                  <c:v>622.11359252507725</c:v>
                </c:pt>
                <c:pt idx="124">
                  <c:v>617.66252991357157</c:v>
                </c:pt>
                <c:pt idx="125">
                  <c:v>613.27470725091757</c:v>
                </c:pt>
                <c:pt idx="126">
                  <c:v>608.94878629007633</c:v>
                </c:pt>
                <c:pt idx="127">
                  <c:v>604.68346627847211</c:v>
                </c:pt>
                <c:pt idx="128">
                  <c:v>600.47748265399412</c:v>
                </c:pt>
                <c:pt idx="129">
                  <c:v>596.32960579504515</c:v>
                </c:pt>
                <c:pt idx="130">
                  <c:v>592.23863982204034</c:v>
                </c:pt>
                <c:pt idx="131">
                  <c:v>588.20342144789925</c:v>
                </c:pt>
                <c:pt idx="132">
                  <c:v>584.2228188752166</c:v>
                </c:pt>
                <c:pt idx="133">
                  <c:v>580.29573073790857</c:v>
                </c:pt>
                <c:pt idx="134">
                  <c:v>576.42108508526042</c:v>
                </c:pt>
                <c:pt idx="135">
                  <c:v>572.59783840640614</c:v>
                </c:pt>
                <c:pt idx="136">
                  <c:v>568.82497469337216</c:v>
                </c:pt>
                <c:pt idx="137">
                  <c:v>565.10150454092275</c:v>
                </c:pt>
                <c:pt idx="138">
                  <c:v>561.42646428152773</c:v>
                </c:pt>
                <c:pt idx="139">
                  <c:v>557.79891515386669</c:v>
                </c:pt>
                <c:pt idx="140">
                  <c:v>554.2179425033612</c:v>
                </c:pt>
                <c:pt idx="141">
                  <c:v>550.68265501330518</c:v>
                </c:pt>
                <c:pt idx="142">
                  <c:v>547.19218396523524</c:v>
                </c:pt>
                <c:pt idx="143">
                  <c:v>543.74568252725476</c:v>
                </c:pt>
                <c:pt idx="144">
                  <c:v>540.34232506908108</c:v>
                </c:pt>
                <c:pt idx="145">
                  <c:v>536.98130650265955</c:v>
                </c:pt>
                <c:pt idx="146">
                  <c:v>533.66184164723154</c:v>
                </c:pt>
                <c:pt idx="147">
                  <c:v>530.38316461780937</c:v>
                </c:pt>
                <c:pt idx="148">
                  <c:v>527.14452823605393</c:v>
                </c:pt>
                <c:pt idx="149">
                  <c:v>523.94520346260856</c:v>
                </c:pt>
                <c:pt idx="150">
                  <c:v>520.78447884997547</c:v>
                </c:pt>
              </c:numCache>
            </c:numRef>
          </c:val>
          <c:extLst>
            <c:ext xmlns:c16="http://schemas.microsoft.com/office/drawing/2014/chart" uri="{C3380CC4-5D6E-409C-BE32-E72D297353CC}">
              <c16:uniqueId val="{00000003-904B-46D1-8E42-2F21DE9458D8}"/>
            </c:ext>
          </c:extLst>
        </c:ser>
        <c:ser>
          <c:idx val="4"/>
          <c:order val="4"/>
          <c:tx>
            <c:strRef>
              <c:f>texts!$A$179</c:f>
              <c:strCache>
                <c:ptCount val="1"/>
                <c:pt idx="0">
                  <c:v>bio-materials</c:v>
                </c:pt>
              </c:strCache>
            </c:strRef>
          </c:tx>
          <c:spPr>
            <a:solidFill>
              <a:srgbClr val="0000FF"/>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data!$HS$6:$HS$156</c:f>
              <c:numCache>
                <c:formatCode>0</c:formatCode>
                <c:ptCount val="151"/>
                <c:pt idx="64">
                  <c:v>187.89054090909187</c:v>
                </c:pt>
                <c:pt idx="65">
                  <c:v>183.4393254827263</c:v>
                </c:pt>
                <c:pt idx="66">
                  <c:v>179.15126033468403</c:v>
                </c:pt>
                <c:pt idx="67">
                  <c:v>175.02088667687738</c:v>
                </c:pt>
                <c:pt idx="68">
                  <c:v>171.04535806937284</c:v>
                </c:pt>
                <c:pt idx="69">
                  <c:v>167.22238491721467</c:v>
                </c:pt>
                <c:pt idx="70">
                  <c:v>163.54821961528373</c:v>
                </c:pt>
                <c:pt idx="71">
                  <c:v>159.95131489594169</c:v>
                </c:pt>
                <c:pt idx="72">
                  <c:v>174.62753937452243</c:v>
                </c:pt>
                <c:pt idx="73">
                  <c:v>189.11720669055529</c:v>
                </c:pt>
                <c:pt idx="74">
                  <c:v>203.4233169527574</c:v>
                </c:pt>
                <c:pt idx="75">
                  <c:v>217.54822024183059</c:v>
                </c:pt>
                <c:pt idx="76">
                  <c:v>231.49432961758652</c:v>
                </c:pt>
                <c:pt idx="77">
                  <c:v>245.26354813254824</c:v>
                </c:pt>
                <c:pt idx="78">
                  <c:v>258.85676750263156</c:v>
                </c:pt>
                <c:pt idx="79">
                  <c:v>272.27476221388446</c:v>
                </c:pt>
                <c:pt idx="80">
                  <c:v>285.51875092935092</c:v>
                </c:pt>
                <c:pt idx="81">
                  <c:v>298.59061360679016</c:v>
                </c:pt>
                <c:pt idx="82">
                  <c:v>311.49304149736042</c:v>
                </c:pt>
                <c:pt idx="83">
                  <c:v>324.22930256603337</c:v>
                </c:pt>
                <c:pt idx="84">
                  <c:v>336.80265446457139</c:v>
                </c:pt>
                <c:pt idx="85">
                  <c:v>349.21537300057719</c:v>
                </c:pt>
                <c:pt idx="86">
                  <c:v>361.46878400088468</c:v>
                </c:pt>
                <c:pt idx="87">
                  <c:v>373.56357448405356</c:v>
                </c:pt>
                <c:pt idx="88">
                  <c:v>385.50047816652335</c:v>
                </c:pt>
                <c:pt idx="89">
                  <c:v>397.28025119772053</c:v>
                </c:pt>
                <c:pt idx="90">
                  <c:v>408.904082572606</c:v>
                </c:pt>
                <c:pt idx="91">
                  <c:v>420.37368858073586</c:v>
                </c:pt>
                <c:pt idx="92">
                  <c:v>431.69094567149824</c:v>
                </c:pt>
                <c:pt idx="93">
                  <c:v>442.85760633488411</c:v>
                </c:pt>
                <c:pt idx="94">
                  <c:v>453.87550656186005</c:v>
                </c:pt>
                <c:pt idx="95">
                  <c:v>464.74658030008862</c:v>
                </c:pt>
                <c:pt idx="96">
                  <c:v>475.47285673618512</c:v>
                </c:pt>
                <c:pt idx="97">
                  <c:v>486.05639972875247</c:v>
                </c:pt>
                <c:pt idx="98">
                  <c:v>496.49928671827041</c:v>
                </c:pt>
                <c:pt idx="99">
                  <c:v>506.803631325737</c:v>
                </c:pt>
                <c:pt idx="100">
                  <c:v>516.97158314146668</c:v>
                </c:pt>
                <c:pt idx="101">
                  <c:v>527.00530695826956</c:v>
                </c:pt>
                <c:pt idx="102">
                  <c:v>522.53034052352791</c:v>
                </c:pt>
                <c:pt idx="103">
                  <c:v>518.13073088223462</c:v>
                </c:pt>
                <c:pt idx="104">
                  <c:v>513.80459045630789</c:v>
                </c:pt>
                <c:pt idx="105">
                  <c:v>509.55009418710529</c:v>
                </c:pt>
                <c:pt idx="106">
                  <c:v>505.36547696825977</c:v>
                </c:pt>
                <c:pt idx="107">
                  <c:v>501.24903120397829</c:v>
                </c:pt>
                <c:pt idx="108">
                  <c:v>497.1991044857088</c:v>
                </c:pt>
                <c:pt idx="109">
                  <c:v>493.21409738053654</c:v>
                </c:pt>
                <c:pt idx="110">
                  <c:v>489.29246132508837</c:v>
                </c:pt>
                <c:pt idx="111">
                  <c:v>485.43269661912086</c:v>
                </c:pt>
                <c:pt idx="112">
                  <c:v>481.63335051333019</c:v>
                </c:pt>
                <c:pt idx="113">
                  <c:v>477.89301538626114</c:v>
                </c:pt>
                <c:pt idx="114">
                  <c:v>474.21032700551007</c:v>
                </c:pt>
                <c:pt idx="115">
                  <c:v>470.58396286870914</c:v>
                </c:pt>
                <c:pt idx="116">
                  <c:v>467.01264062005322</c:v>
                </c:pt>
                <c:pt idx="117">
                  <c:v>463.49511653838601</c:v>
                </c:pt>
                <c:pt idx="118">
                  <c:v>460.03018409310431</c:v>
                </c:pt>
                <c:pt idx="119">
                  <c:v>456.61667256435055</c:v>
                </c:pt>
                <c:pt idx="120">
                  <c:v>453.25344572418788</c:v>
                </c:pt>
                <c:pt idx="121">
                  <c:v>449.93940057562958</c:v>
                </c:pt>
                <c:pt idx="122">
                  <c:v>446.67346614658715</c:v>
                </c:pt>
                <c:pt idx="123">
                  <c:v>443.45460233596407</c:v>
                </c:pt>
                <c:pt idx="124">
                  <c:v>440.28179880928633</c:v>
                </c:pt>
                <c:pt idx="125">
                  <c:v>437.15407394140448</c:v>
                </c:pt>
                <c:pt idx="126">
                  <c:v>434.07047380394351</c:v>
                </c:pt>
                <c:pt idx="127">
                  <c:v>431.03007119530673</c:v>
                </c:pt>
                <c:pt idx="128">
                  <c:v>428.03196471116132</c:v>
                </c:pt>
                <c:pt idx="129">
                  <c:v>425.07527785344814</c:v>
                </c:pt>
                <c:pt idx="130">
                  <c:v>422.15915817606651</c:v>
                </c:pt>
                <c:pt idx="131">
                  <c:v>419.28277646548474</c:v>
                </c:pt>
                <c:pt idx="132">
                  <c:v>416.44532595461942</c:v>
                </c:pt>
                <c:pt idx="133">
                  <c:v>413.64602156842244</c:v>
                </c:pt>
                <c:pt idx="134">
                  <c:v>410.88409919968944</c:v>
                </c:pt>
                <c:pt idx="135">
                  <c:v>408.15881501369046</c:v>
                </c:pt>
                <c:pt idx="136">
                  <c:v>405.46944478028911</c:v>
                </c:pt>
                <c:pt idx="137">
                  <c:v>402.81528323229543</c:v>
                </c:pt>
                <c:pt idx="138">
                  <c:v>400.19564344885356</c:v>
                </c:pt>
                <c:pt idx="139">
                  <c:v>397.60985626273572</c:v>
                </c:pt>
                <c:pt idx="140">
                  <c:v>395.05726969046623</c:v>
                </c:pt>
                <c:pt idx="141">
                  <c:v>392.53724838425597</c:v>
                </c:pt>
                <c:pt idx="142">
                  <c:v>390.04917310478106</c:v>
                </c:pt>
                <c:pt idx="143">
                  <c:v>387.59244021388463</c:v>
                </c:pt>
                <c:pt idx="144">
                  <c:v>385.16646118633179</c:v>
                </c:pt>
                <c:pt idx="145">
                  <c:v>382.77066213978355</c:v>
                </c:pt>
                <c:pt idx="146">
                  <c:v>380.40448338220779</c:v>
                </c:pt>
                <c:pt idx="147">
                  <c:v>378.06737897597031</c:v>
                </c:pt>
                <c:pt idx="148">
                  <c:v>375.75881631789878</c:v>
                </c:pt>
                <c:pt idx="149">
                  <c:v>373.47827573463769</c:v>
                </c:pt>
                <c:pt idx="150">
                  <c:v>371.22525009264893</c:v>
                </c:pt>
              </c:numCache>
            </c:numRef>
          </c:val>
          <c:extLst>
            <c:ext xmlns:c16="http://schemas.microsoft.com/office/drawing/2014/chart" uri="{C3380CC4-5D6E-409C-BE32-E72D297353CC}">
              <c16:uniqueId val="{00000004-904B-46D1-8E42-2F21DE9458D8}"/>
            </c:ext>
          </c:extLst>
        </c:ser>
        <c:ser>
          <c:idx val="5"/>
          <c:order val="5"/>
          <c:tx>
            <c:strRef>
              <c:f>texts!$A$180</c:f>
              <c:strCache>
                <c:ptCount val="1"/>
                <c:pt idx="0">
                  <c:v>BECCS</c:v>
                </c:pt>
              </c:strCache>
            </c:strRef>
          </c:tx>
          <c:spPr>
            <a:solidFill>
              <a:srgbClr val="FF6699"/>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data!$HT$6:$HT$156</c:f>
              <c:numCache>
                <c:formatCode>0</c:formatCode>
                <c:ptCount val="151"/>
                <c:pt idx="64">
                  <c:v>0</c:v>
                </c:pt>
                <c:pt idx="65">
                  <c:v>0</c:v>
                </c:pt>
                <c:pt idx="66">
                  <c:v>0</c:v>
                </c:pt>
                <c:pt idx="67">
                  <c:v>0</c:v>
                </c:pt>
                <c:pt idx="68">
                  <c:v>0</c:v>
                </c:pt>
                <c:pt idx="69">
                  <c:v>0</c:v>
                </c:pt>
                <c:pt idx="70">
                  <c:v>0</c:v>
                </c:pt>
                <c:pt idx="71">
                  <c:v>0</c:v>
                </c:pt>
                <c:pt idx="72">
                  <c:v>31.31430453486167</c:v>
                </c:pt>
                <c:pt idx="73">
                  <c:v>61.2823464651918</c:v>
                </c:pt>
                <c:pt idx="74">
                  <c:v>89.971624240499906</c:v>
                </c:pt>
                <c:pt idx="75">
                  <c:v>117.44665314193274</c:v>
                </c:pt>
                <c:pt idx="76">
                  <c:v>143.7693247451345</c:v>
                </c:pt>
                <c:pt idx="77">
                  <c:v>168.99843690269859</c:v>
                </c:pt>
                <c:pt idx="78">
                  <c:v>193.1882773518596</c:v>
                </c:pt>
                <c:pt idx="79">
                  <c:v>216.38899122001436</c:v>
                </c:pt>
                <c:pt idx="80">
                  <c:v>238.64767735023736</c:v>
                </c:pt>
                <c:pt idx="81">
                  <c:v>260.00973872022274</c:v>
                </c:pt>
                <c:pt idx="82">
                  <c:v>280.52078639089729</c:v>
                </c:pt>
                <c:pt idx="83">
                  <c:v>300.22788872607839</c:v>
                </c:pt>
                <c:pt idx="84">
                  <c:v>319.17909680267229</c:v>
                </c:pt>
                <c:pt idx="85">
                  <c:v>337.41940133165002</c:v>
                </c:pt>
                <c:pt idx="86">
                  <c:v>354.98871477506174</c:v>
                </c:pt>
                <c:pt idx="87">
                  <c:v>371.92093858853991</c:v>
                </c:pt>
                <c:pt idx="88">
                  <c:v>388.2463524220945</c:v>
                </c:pt>
                <c:pt idx="89">
                  <c:v>403.99081447009308</c:v>
                </c:pt>
                <c:pt idx="90">
                  <c:v>419.17890369169504</c:v>
                </c:pt>
                <c:pt idx="91">
                  <c:v>433.83658021805439</c:v>
                </c:pt>
                <c:pt idx="92">
                  <c:v>447.98947751140997</c:v>
                </c:pt>
                <c:pt idx="93">
                  <c:v>461.65957468785888</c:v>
                </c:pt>
                <c:pt idx="94">
                  <c:v>474.86719136085003</c:v>
                </c:pt>
                <c:pt idx="95">
                  <c:v>487.63152183909227</c:v>
                </c:pt>
                <c:pt idx="96">
                  <c:v>499.97132475442959</c:v>
                </c:pt>
                <c:pt idx="97">
                  <c:v>511.90427808184575</c:v>
                </c:pt>
                <c:pt idx="98">
                  <c:v>523.44634115192105</c:v>
                </c:pt>
                <c:pt idx="99">
                  <c:v>534.61234165662972</c:v>
                </c:pt>
                <c:pt idx="100">
                  <c:v>545.41663913070067</c:v>
                </c:pt>
                <c:pt idx="101">
                  <c:v>555.87317685208723</c:v>
                </c:pt>
                <c:pt idx="102">
                  <c:v>547.73799898744164</c:v>
                </c:pt>
                <c:pt idx="103">
                  <c:v>539.81137882913265</c:v>
                </c:pt>
                <c:pt idx="104">
                  <c:v>532.08692431409042</c:v>
                </c:pt>
                <c:pt idx="105">
                  <c:v>524.55825437288513</c:v>
                </c:pt>
                <c:pt idx="106">
                  <c:v>517.21873814410844</c:v>
                </c:pt>
                <c:pt idx="107">
                  <c:v>510.06176548966818</c:v>
                </c:pt>
                <c:pt idx="108">
                  <c:v>503.08139767858449</c:v>
                </c:pt>
                <c:pt idx="109">
                  <c:v>496.27192874545568</c:v>
                </c:pt>
                <c:pt idx="110">
                  <c:v>489.62795384801058</c:v>
                </c:pt>
                <c:pt idx="111">
                  <c:v>483.14398642398504</c:v>
                </c:pt>
                <c:pt idx="112">
                  <c:v>476.81507181813203</c:v>
                </c:pt>
                <c:pt idx="113">
                  <c:v>470.63708266312051</c:v>
                </c:pt>
                <c:pt idx="114">
                  <c:v>464.60627796689772</c:v>
                </c:pt>
                <c:pt idx="115">
                  <c:v>458.7186794916235</c:v>
                </c:pt>
                <c:pt idx="116">
                  <c:v>452.96973396461175</c:v>
                </c:pt>
                <c:pt idx="117">
                  <c:v>447.35468581401608</c:v>
                </c:pt>
                <c:pt idx="118">
                  <c:v>441.86908089905285</c:v>
                </c:pt>
                <c:pt idx="119">
                  <c:v>436.50850275961409</c:v>
                </c:pt>
                <c:pt idx="120">
                  <c:v>431.26859076592541</c:v>
                </c:pt>
                <c:pt idx="121">
                  <c:v>426.14536769347274</c:v>
                </c:pt>
                <c:pt idx="122">
                  <c:v>421.13468527979609</c:v>
                </c:pt>
                <c:pt idx="123">
                  <c:v>416.23196147935676</c:v>
                </c:pt>
                <c:pt idx="124">
                  <c:v>411.43253009629046</c:v>
                </c:pt>
                <c:pt idx="125">
                  <c:v>406.7321290359634</c:v>
                </c:pt>
                <c:pt idx="126">
                  <c:v>402.12719639605484</c:v>
                </c:pt>
                <c:pt idx="127">
                  <c:v>397.61451379621388</c:v>
                </c:pt>
                <c:pt idx="128">
                  <c:v>393.19075239769933</c:v>
                </c:pt>
                <c:pt idx="129">
                  <c:v>388.8527195692397</c:v>
                </c:pt>
                <c:pt idx="130">
                  <c:v>384.59741292047875</c:v>
                </c:pt>
                <c:pt idx="131">
                  <c:v>380.42229102365127</c:v>
                </c:pt>
                <c:pt idx="132">
                  <c:v>376.32476071939737</c:v>
                </c:pt>
                <c:pt idx="133">
                  <c:v>372.30190064445151</c:v>
                </c:pt>
                <c:pt idx="134">
                  <c:v>368.35081480358247</c:v>
                </c:pt>
                <c:pt idx="135">
                  <c:v>364.46903079340353</c:v>
                </c:pt>
                <c:pt idx="136">
                  <c:v>360.65465863412669</c:v>
                </c:pt>
                <c:pt idx="137">
                  <c:v>356.90632260877669</c:v>
                </c:pt>
                <c:pt idx="138">
                  <c:v>353.22287523237821</c:v>
                </c:pt>
                <c:pt idx="139">
                  <c:v>349.60343509850952</c:v>
                </c:pt>
                <c:pt idx="140">
                  <c:v>346.0471475121239</c:v>
                </c:pt>
                <c:pt idx="141">
                  <c:v>342.5531025894644</c:v>
                </c:pt>
                <c:pt idx="142">
                  <c:v>339.12035551075911</c:v>
                </c:pt>
                <c:pt idx="143">
                  <c:v>335.74800938281896</c:v>
                </c:pt>
                <c:pt idx="144">
                  <c:v>332.43527440373418</c:v>
                </c:pt>
                <c:pt idx="145">
                  <c:v>329.18152982308925</c:v>
                </c:pt>
                <c:pt idx="146">
                  <c:v>325.98634345523215</c:v>
                </c:pt>
                <c:pt idx="147">
                  <c:v>322.84946056133168</c:v>
                </c:pt>
                <c:pt idx="148">
                  <c:v>319.77080172390123</c:v>
                </c:pt>
                <c:pt idx="149">
                  <c:v>316.75045534027316</c:v>
                </c:pt>
                <c:pt idx="150">
                  <c:v>313.78866642204741</c:v>
                </c:pt>
              </c:numCache>
            </c:numRef>
          </c:val>
          <c:extLst>
            <c:ext xmlns:c16="http://schemas.microsoft.com/office/drawing/2014/chart" uri="{C3380CC4-5D6E-409C-BE32-E72D297353CC}">
              <c16:uniqueId val="{00000005-904B-46D1-8E42-2F21DE9458D8}"/>
            </c:ext>
          </c:extLst>
        </c:ser>
        <c:ser>
          <c:idx val="6"/>
          <c:order val="6"/>
          <c:tx>
            <c:strRef>
              <c:f>texts!$A$181</c:f>
              <c:strCache>
                <c:ptCount val="1"/>
                <c:pt idx="0">
                  <c:v>add. sust. farming</c:v>
                </c:pt>
              </c:strCache>
            </c:strRef>
          </c:tx>
          <c:spPr>
            <a:solidFill>
              <a:schemeClr val="accent1">
                <a:lumMod val="60000"/>
                <a:lumOff val="40000"/>
              </a:schemeClr>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data!$HU$6:$HU$156</c:f>
              <c:numCache>
                <c:formatCode>0</c:formatCode>
                <c:ptCount val="151"/>
                <c:pt idx="64">
                  <c:v>12.209501035994222</c:v>
                </c:pt>
                <c:pt idx="65">
                  <c:v>12.077296384314064</c:v>
                </c:pt>
                <c:pt idx="66">
                  <c:v>11.945550285437298</c:v>
                </c:pt>
                <c:pt idx="67">
                  <c:v>11.829903793348198</c:v>
                </c:pt>
                <c:pt idx="68">
                  <c:v>11.752161606881739</c:v>
                </c:pt>
                <c:pt idx="69">
                  <c:v>11.612590365197338</c:v>
                </c:pt>
                <c:pt idx="70">
                  <c:v>11.476872900707292</c:v>
                </c:pt>
                <c:pt idx="71">
                  <c:v>11.344433442652472</c:v>
                </c:pt>
                <c:pt idx="72">
                  <c:v>20.848933341708946</c:v>
                </c:pt>
                <c:pt idx="73">
                  <c:v>30.764518564177362</c:v>
                </c:pt>
                <c:pt idx="74">
                  <c:v>41.0757649919626</c:v>
                </c:pt>
                <c:pt idx="75">
                  <c:v>51.768177083940763</c:v>
                </c:pt>
                <c:pt idx="76">
                  <c:v>62.828156030137627</c:v>
                </c:pt>
                <c:pt idx="77">
                  <c:v>74.242921684147518</c:v>
                </c:pt>
                <c:pt idx="78">
                  <c:v>86.0003673234948</c:v>
                </c:pt>
                <c:pt idx="79">
                  <c:v>98.089002496762333</c:v>
                </c:pt>
                <c:pt idx="80">
                  <c:v>110.49795104158341</c:v>
                </c:pt>
                <c:pt idx="81">
                  <c:v>123.21699055340977</c:v>
                </c:pt>
                <c:pt idx="82">
                  <c:v>136.23666462937388</c:v>
                </c:pt>
                <c:pt idx="83">
                  <c:v>149.54838565393268</c:v>
                </c:pt>
                <c:pt idx="84">
                  <c:v>163.14442162403887</c:v>
                </c:pt>
                <c:pt idx="85">
                  <c:v>177.01755898012965</c:v>
                </c:pt>
                <c:pt idx="86">
                  <c:v>191.16086015508398</c:v>
                </c:pt>
                <c:pt idx="87">
                  <c:v>205.56747789717906</c:v>
                </c:pt>
                <c:pt idx="88">
                  <c:v>220.23077775715464</c:v>
                </c:pt>
                <c:pt idx="89">
                  <c:v>235.14418493537798</c:v>
                </c:pt>
                <c:pt idx="90">
                  <c:v>250.30143514868701</c:v>
                </c:pt>
                <c:pt idx="91">
                  <c:v>265.69684439873419</c:v>
                </c:pt>
                <c:pt idx="92">
                  <c:v>281.32513844661446</c:v>
                </c:pt>
                <c:pt idx="93">
                  <c:v>297.18105048940612</c:v>
                </c:pt>
                <c:pt idx="94">
                  <c:v>313.25949460160592</c:v>
                </c:pt>
                <c:pt idx="95">
                  <c:v>329.5556005316667</c:v>
                </c:pt>
                <c:pt idx="96">
                  <c:v>346.06478121462067</c:v>
                </c:pt>
                <c:pt idx="97">
                  <c:v>362.78263704844591</c:v>
                </c:pt>
                <c:pt idx="98">
                  <c:v>379.70484607881309</c:v>
                </c:pt>
                <c:pt idx="99">
                  <c:v>396.82721340245263</c:v>
                </c:pt>
                <c:pt idx="100">
                  <c:v>414.14574544674377</c:v>
                </c:pt>
                <c:pt idx="101">
                  <c:v>431.65664805149555</c:v>
                </c:pt>
                <c:pt idx="102">
                  <c:v>428.17043206611959</c:v>
                </c:pt>
                <c:pt idx="103">
                  <c:v>424.75103163555337</c:v>
                </c:pt>
                <c:pt idx="104">
                  <c:v>421.39656431931917</c:v>
                </c:pt>
                <c:pt idx="105">
                  <c:v>418.10518070218694</c:v>
                </c:pt>
                <c:pt idx="106">
                  <c:v>414.8750239691625</c:v>
                </c:pt>
                <c:pt idx="107">
                  <c:v>411.70426923999401</c:v>
                </c:pt>
                <c:pt idx="108">
                  <c:v>408.59121998967942</c:v>
                </c:pt>
                <c:pt idx="109">
                  <c:v>405.53424112747666</c:v>
                </c:pt>
                <c:pt idx="110">
                  <c:v>402.53176817987679</c:v>
                </c:pt>
                <c:pt idx="111">
                  <c:v>399.5822488445711</c:v>
                </c:pt>
                <c:pt idx="112">
                  <c:v>396.68423406322739</c:v>
                </c:pt>
                <c:pt idx="113">
                  <c:v>393.83642140299418</c:v>
                </c:pt>
                <c:pt idx="114">
                  <c:v>391.03758803714999</c:v>
                </c:pt>
                <c:pt idx="115">
                  <c:v>388.28649636033924</c:v>
                </c:pt>
                <c:pt idx="116">
                  <c:v>385.58184251727897</c:v>
                </c:pt>
                <c:pt idx="117">
                  <c:v>382.92231154679916</c:v>
                </c:pt>
                <c:pt idx="118">
                  <c:v>380.30665220975828</c:v>
                </c:pt>
                <c:pt idx="119">
                  <c:v>377.73363672774923</c:v>
                </c:pt>
                <c:pt idx="120">
                  <c:v>375.20206283799359</c:v>
                </c:pt>
                <c:pt idx="121">
                  <c:v>372.2717875464964</c:v>
                </c:pt>
                <c:pt idx="122">
                  <c:v>369.38713056277868</c:v>
                </c:pt>
                <c:pt idx="123">
                  <c:v>366.54676209100148</c:v>
                </c:pt>
                <c:pt idx="124">
                  <c:v>363.74935862542338</c:v>
                </c:pt>
                <c:pt idx="125">
                  <c:v>360.99367550320426</c:v>
                </c:pt>
                <c:pt idx="126">
                  <c:v>358.2785906624718</c:v>
                </c:pt>
                <c:pt idx="127">
                  <c:v>355.60305051405925</c:v>
                </c:pt>
                <c:pt idx="128">
                  <c:v>352.96600124325829</c:v>
                </c:pt>
                <c:pt idx="129">
                  <c:v>350.36642523373217</c:v>
                </c:pt>
                <c:pt idx="130">
                  <c:v>347.80334862057288</c:v>
                </c:pt>
                <c:pt idx="131">
                  <c:v>345.27588136944456</c:v>
                </c:pt>
                <c:pt idx="132">
                  <c:v>342.78313986511108</c:v>
                </c:pt>
                <c:pt idx="133">
                  <c:v>340.32420495397372</c:v>
                </c:pt>
                <c:pt idx="134">
                  <c:v>337.89817451300075</c:v>
                </c:pt>
                <c:pt idx="135">
                  <c:v>335.50422273526738</c:v>
                </c:pt>
                <c:pt idx="136">
                  <c:v>333.14162352464012</c:v>
                </c:pt>
                <c:pt idx="137">
                  <c:v>330.80973985870537</c:v>
                </c:pt>
                <c:pt idx="138">
                  <c:v>328.507980487532</c:v>
                </c:pt>
                <c:pt idx="139">
                  <c:v>326.23580522963289</c:v>
                </c:pt>
                <c:pt idx="140">
                  <c:v>323.99268870075298</c:v>
                </c:pt>
                <c:pt idx="141">
                  <c:v>321.77810767693705</c:v>
                </c:pt>
                <c:pt idx="142">
                  <c:v>319.59154379409546</c:v>
                </c:pt>
                <c:pt idx="143">
                  <c:v>317.43249565203013</c:v>
                </c:pt>
                <c:pt idx="144">
                  <c:v>315.30048737617864</c:v>
                </c:pt>
                <c:pt idx="145">
                  <c:v>313.19507761054268</c:v>
                </c:pt>
                <c:pt idx="146">
                  <c:v>311.11586215491428</c:v>
                </c:pt>
                <c:pt idx="147">
                  <c:v>309.06247201826767</c:v>
                </c:pt>
                <c:pt idx="148">
                  <c:v>307.03457283140028</c:v>
                </c:pt>
                <c:pt idx="149">
                  <c:v>305.03186346235054</c:v>
                </c:pt>
                <c:pt idx="150">
                  <c:v>303.05407408722181</c:v>
                </c:pt>
              </c:numCache>
            </c:numRef>
          </c:val>
          <c:extLst>
            <c:ext xmlns:c16="http://schemas.microsoft.com/office/drawing/2014/chart" uri="{C3380CC4-5D6E-409C-BE32-E72D297353CC}">
              <c16:uniqueId val="{00000006-904B-46D1-8E42-2F21DE9458D8}"/>
            </c:ext>
          </c:extLst>
        </c:ser>
        <c:ser>
          <c:idx val="7"/>
          <c:order val="7"/>
          <c:tx>
            <c:strRef>
              <c:f>texts!$A$182</c:f>
              <c:strCache>
                <c:ptCount val="1"/>
                <c:pt idx="0">
                  <c:v>add. bio-diversity</c:v>
                </c:pt>
              </c:strCache>
            </c:strRef>
          </c:tx>
          <c:spPr>
            <a:solidFill>
              <a:schemeClr val="accent1">
                <a:lumMod val="75000"/>
              </a:schemeClr>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data!$HV$6:$HV$156</c:f>
              <c:numCache>
                <c:formatCode>0</c:formatCode>
                <c:ptCount val="151"/>
                <c:pt idx="64">
                  <c:v>0</c:v>
                </c:pt>
                <c:pt idx="65">
                  <c:v>0</c:v>
                </c:pt>
                <c:pt idx="66">
                  <c:v>0</c:v>
                </c:pt>
                <c:pt idx="67">
                  <c:v>0</c:v>
                </c:pt>
                <c:pt idx="68">
                  <c:v>0</c:v>
                </c:pt>
                <c:pt idx="69">
                  <c:v>0</c:v>
                </c:pt>
                <c:pt idx="70">
                  <c:v>0</c:v>
                </c:pt>
                <c:pt idx="71">
                  <c:v>0</c:v>
                </c:pt>
                <c:pt idx="72">
                  <c:v>7.7809000400715496</c:v>
                </c:pt>
                <c:pt idx="73">
                  <c:v>15.989539933393297</c:v>
                </c:pt>
                <c:pt idx="74">
                  <c:v>24.617550103821294</c:v>
                </c:pt>
                <c:pt idx="75">
                  <c:v>33.657116416013018</c:v>
                </c:pt>
                <c:pt idx="76">
                  <c:v>43.100966220946049</c:v>
                </c:pt>
                <c:pt idx="77">
                  <c:v>52.942325094880104</c:v>
                </c:pt>
                <c:pt idx="78">
                  <c:v>63.174818182819315</c:v>
                </c:pt>
                <c:pt idx="79">
                  <c:v>73.792427778284718</c:v>
                </c:pt>
                <c:pt idx="80">
                  <c:v>84.789495621902404</c:v>
                </c:pt>
                <c:pt idx="81">
                  <c:v>96.160761926823625</c:v>
                </c:pt>
                <c:pt idx="82">
                  <c:v>107.90146677793521</c:v>
                </c:pt>
                <c:pt idx="83">
                  <c:v>120.0074512395328</c:v>
                </c:pt>
                <c:pt idx="84">
                  <c:v>132.47516879772786</c:v>
                </c:pt>
                <c:pt idx="85">
                  <c:v>145.3014282876633</c:v>
                </c:pt>
                <c:pt idx="86">
                  <c:v>158.48319775590417</c:v>
                </c:pt>
                <c:pt idx="87">
                  <c:v>172.01744648925384</c:v>
                </c:pt>
                <c:pt idx="88">
                  <c:v>185.90124167602733</c:v>
                </c:pt>
                <c:pt idx="89">
                  <c:v>200.13161826102211</c:v>
                </c:pt>
                <c:pt idx="90">
                  <c:v>214.70579041938515</c:v>
                </c:pt>
                <c:pt idx="91">
                  <c:v>229.62139043643151</c:v>
                </c:pt>
                <c:pt idx="92">
                  <c:v>244.87633452621412</c:v>
                </c:pt>
                <c:pt idx="93">
                  <c:v>260.46847864054263</c:v>
                </c:pt>
                <c:pt idx="94">
                  <c:v>276.39576808858391</c:v>
                </c:pt>
                <c:pt idx="95">
                  <c:v>292.65627082410469</c:v>
                </c:pt>
                <c:pt idx="96">
                  <c:v>309.24824141462284</c:v>
                </c:pt>
                <c:pt idx="97">
                  <c:v>326.17004061045651</c:v>
                </c:pt>
                <c:pt idx="98">
                  <c:v>343.42003909641278</c:v>
                </c:pt>
                <c:pt idx="99">
                  <c:v>360.99666275350501</c:v>
                </c:pt>
                <c:pt idx="100">
                  <c:v>378.89846246107766</c:v>
                </c:pt>
                <c:pt idx="101">
                  <c:v>397.12411620737589</c:v>
                </c:pt>
                <c:pt idx="102">
                  <c:v>393.91679750083006</c:v>
                </c:pt>
                <c:pt idx="103">
                  <c:v>390.77094910470902</c:v>
                </c:pt>
                <c:pt idx="104">
                  <c:v>387.6848391737737</c:v>
                </c:pt>
                <c:pt idx="105">
                  <c:v>384.65676624601201</c:v>
                </c:pt>
                <c:pt idx="106">
                  <c:v>381.68502205162952</c:v>
                </c:pt>
                <c:pt idx="107">
                  <c:v>378.76792770079447</c:v>
                </c:pt>
                <c:pt idx="108">
                  <c:v>375.90392239050504</c:v>
                </c:pt>
                <c:pt idx="109">
                  <c:v>373.09150183727866</c:v>
                </c:pt>
                <c:pt idx="110">
                  <c:v>370.32922672548665</c:v>
                </c:pt>
                <c:pt idx="111">
                  <c:v>367.61566893700541</c:v>
                </c:pt>
                <c:pt idx="112">
                  <c:v>364.94949533816924</c:v>
                </c:pt>
                <c:pt idx="113">
                  <c:v>362.32950769075467</c:v>
                </c:pt>
                <c:pt idx="114">
                  <c:v>359.75458099417796</c:v>
                </c:pt>
                <c:pt idx="115">
                  <c:v>357.22357665151213</c:v>
                </c:pt>
                <c:pt idx="116">
                  <c:v>354.73529511589669</c:v>
                </c:pt>
                <c:pt idx="117">
                  <c:v>352.2885266230553</c:v>
                </c:pt>
                <c:pt idx="118">
                  <c:v>349.88212003297764</c:v>
                </c:pt>
                <c:pt idx="119">
                  <c:v>347.51494578952929</c:v>
                </c:pt>
                <c:pt idx="120">
                  <c:v>345.18589781095409</c:v>
                </c:pt>
                <c:pt idx="121">
                  <c:v>342.49004454277673</c:v>
                </c:pt>
                <c:pt idx="122">
                  <c:v>339.83616011775644</c:v>
                </c:pt>
                <c:pt idx="123">
                  <c:v>337.22302112372131</c:v>
                </c:pt>
                <c:pt idx="124">
                  <c:v>334.64940993538949</c:v>
                </c:pt>
                <c:pt idx="125">
                  <c:v>332.1141814629479</c:v>
                </c:pt>
                <c:pt idx="126">
                  <c:v>329.61630340947403</c:v>
                </c:pt>
                <c:pt idx="127">
                  <c:v>327.15480647293452</c:v>
                </c:pt>
                <c:pt idx="128">
                  <c:v>324.7287211437976</c:v>
                </c:pt>
                <c:pt idx="129">
                  <c:v>322.33711121503353</c:v>
                </c:pt>
                <c:pt idx="130">
                  <c:v>319.97908073092702</c:v>
                </c:pt>
                <c:pt idx="131">
                  <c:v>317.65381085988895</c:v>
                </c:pt>
                <c:pt idx="132">
                  <c:v>315.36048867590216</c:v>
                </c:pt>
                <c:pt idx="133">
                  <c:v>313.09826855765579</c:v>
                </c:pt>
                <c:pt idx="134">
                  <c:v>310.86632055196065</c:v>
                </c:pt>
                <c:pt idx="135">
                  <c:v>308.66388491644597</c:v>
                </c:pt>
                <c:pt idx="136">
                  <c:v>306.49029364266897</c:v>
                </c:pt>
                <c:pt idx="137">
                  <c:v>304.34496067000902</c:v>
                </c:pt>
                <c:pt idx="138">
                  <c:v>302.22734204852935</c:v>
                </c:pt>
                <c:pt idx="139">
                  <c:v>300.13694081126226</c:v>
                </c:pt>
                <c:pt idx="140">
                  <c:v>298.0732736046927</c:v>
                </c:pt>
                <c:pt idx="141">
                  <c:v>296.03585906278209</c:v>
                </c:pt>
                <c:pt idx="142">
                  <c:v>294.02422029056777</c:v>
                </c:pt>
                <c:pt idx="143">
                  <c:v>292.03789599986771</c:v>
                </c:pt>
                <c:pt idx="144">
                  <c:v>290.07644838608439</c:v>
                </c:pt>
                <c:pt idx="145">
                  <c:v>288.13947140169932</c:v>
                </c:pt>
                <c:pt idx="146">
                  <c:v>286.22659318252113</c:v>
                </c:pt>
                <c:pt idx="147">
                  <c:v>284.33747425680622</c:v>
                </c:pt>
                <c:pt idx="148">
                  <c:v>282.47180700488826</c:v>
                </c:pt>
                <c:pt idx="149">
                  <c:v>280.62931438536253</c:v>
                </c:pt>
                <c:pt idx="150">
                  <c:v>278.80974816024411</c:v>
                </c:pt>
              </c:numCache>
            </c:numRef>
          </c:val>
          <c:extLst>
            <c:ext xmlns:c16="http://schemas.microsoft.com/office/drawing/2014/chart" uri="{C3380CC4-5D6E-409C-BE32-E72D297353CC}">
              <c16:uniqueId val="{00000007-904B-46D1-8E42-2F21DE9458D8}"/>
            </c:ext>
          </c:extLst>
        </c:ser>
        <c:ser>
          <c:idx val="8"/>
          <c:order val="8"/>
          <c:tx>
            <c:strRef>
              <c:f>texts!$A$183</c:f>
              <c:strCache>
                <c:ptCount val="1"/>
                <c:pt idx="0">
                  <c:v>afforestation</c:v>
                </c:pt>
              </c:strCache>
            </c:strRef>
          </c:tx>
          <c:spPr>
            <a:solidFill>
              <a:srgbClr val="00FF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data!$HW$6:$HW$156</c:f>
              <c:numCache>
                <c:formatCode>0</c:formatCode>
                <c:ptCount val="151"/>
                <c:pt idx="64">
                  <c:v>0</c:v>
                </c:pt>
                <c:pt idx="65">
                  <c:v>0</c:v>
                </c:pt>
                <c:pt idx="66">
                  <c:v>0</c:v>
                </c:pt>
                <c:pt idx="67">
                  <c:v>0</c:v>
                </c:pt>
                <c:pt idx="68">
                  <c:v>0</c:v>
                </c:pt>
                <c:pt idx="69">
                  <c:v>0</c:v>
                </c:pt>
                <c:pt idx="70">
                  <c:v>0</c:v>
                </c:pt>
                <c:pt idx="71">
                  <c:v>0</c:v>
                </c:pt>
                <c:pt idx="72">
                  <c:v>30.304720899273828</c:v>
                </c:pt>
                <c:pt idx="73">
                  <c:v>59.976718343563114</c:v>
                </c:pt>
                <c:pt idx="74">
                  <c:v>89.038440966751466</c:v>
                </c:pt>
                <c:pt idx="75">
                  <c:v>117.51232049329627</c:v>
                </c:pt>
                <c:pt idx="76">
                  <c:v>145.4209709277865</c:v>
                </c:pt>
                <c:pt idx="77">
                  <c:v>172.78656333018739</c:v>
                </c:pt>
                <c:pt idx="78">
                  <c:v>199.62919193551204</c:v>
                </c:pt>
                <c:pt idx="79">
                  <c:v>225.96701040080555</c:v>
                </c:pt>
                <c:pt idx="80">
                  <c:v>251.81716131096664</c:v>
                </c:pt>
                <c:pt idx="81">
                  <c:v>277.19704852506027</c:v>
                </c:pt>
                <c:pt idx="82">
                  <c:v>302.1262942314753</c:v>
                </c:pt>
                <c:pt idx="83">
                  <c:v>326.62810843920801</c:v>
                </c:pt>
                <c:pt idx="84">
                  <c:v>350.7288460541115</c:v>
                </c:pt>
                <c:pt idx="85">
                  <c:v>374.45357268580238</c:v>
                </c:pt>
                <c:pt idx="86">
                  <c:v>397.82363536833924</c:v>
                </c:pt>
                <c:pt idx="87">
                  <c:v>420.85532922535873</c:v>
                </c:pt>
                <c:pt idx="88">
                  <c:v>443.56229852383757</c:v>
                </c:pt>
                <c:pt idx="89">
                  <c:v>465.95441624753096</c:v>
                </c:pt>
                <c:pt idx="90">
                  <c:v>488.0412009206633</c:v>
                </c:pt>
                <c:pt idx="91">
                  <c:v>509.83487281962385</c:v>
                </c:pt>
                <c:pt idx="92">
                  <c:v>531.34840309062577</c:v>
                </c:pt>
                <c:pt idx="93">
                  <c:v>552.59151230089685</c:v>
                </c:pt>
                <c:pt idx="94">
                  <c:v>573.57288038603804</c:v>
                </c:pt>
                <c:pt idx="95">
                  <c:v>594.3007068919261</c:v>
                </c:pt>
                <c:pt idx="96">
                  <c:v>614.78349728819524</c:v>
                </c:pt>
                <c:pt idx="97">
                  <c:v>635.02923874738758</c:v>
                </c:pt>
                <c:pt idx="98">
                  <c:v>655.0445425687949</c:v>
                </c:pt>
                <c:pt idx="99">
                  <c:v>674.8352912766112</c:v>
                </c:pt>
                <c:pt idx="100">
                  <c:v>694.40742145613683</c:v>
                </c:pt>
                <c:pt idx="101">
                  <c:v>713.76696462939424</c:v>
                </c:pt>
                <c:pt idx="102">
                  <c:v>709.27800737037103</c:v>
                </c:pt>
                <c:pt idx="103">
                  <c:v>704.88332488444485</c:v>
                </c:pt>
                <c:pt idx="104">
                  <c:v>700.58135311209355</c:v>
                </c:pt>
                <c:pt idx="105">
                  <c:v>696.37026210402007</c:v>
                </c:pt>
                <c:pt idx="106">
                  <c:v>692.247607713354</c:v>
                </c:pt>
                <c:pt idx="107">
                  <c:v>688.21068315438038</c:v>
                </c:pt>
                <c:pt idx="108">
                  <c:v>684.2574052806483</c:v>
                </c:pt>
                <c:pt idx="109">
                  <c:v>680.38574980751014</c:v>
                </c:pt>
                <c:pt idx="110">
                  <c:v>676.59385853245828</c:v>
                </c:pt>
                <c:pt idx="111">
                  <c:v>672.87952260953364</c:v>
                </c:pt>
                <c:pt idx="112">
                  <c:v>669.24103949052073</c:v>
                </c:pt>
                <c:pt idx="113">
                  <c:v>665.67765969378115</c:v>
                </c:pt>
                <c:pt idx="114">
                  <c:v>662.18900337121249</c:v>
                </c:pt>
                <c:pt idx="115">
                  <c:v>658.77418575831848</c:v>
                </c:pt>
                <c:pt idx="116">
                  <c:v>655.43131561531516</c:v>
                </c:pt>
                <c:pt idx="117">
                  <c:v>652.15800750590915</c:v>
                </c:pt>
                <c:pt idx="118">
                  <c:v>648.95211072810275</c:v>
                </c:pt>
                <c:pt idx="119">
                  <c:v>645.8113355336227</c:v>
                </c:pt>
                <c:pt idx="120">
                  <c:v>642.73328231049084</c:v>
                </c:pt>
                <c:pt idx="121">
                  <c:v>639.77581765397747</c:v>
                </c:pt>
                <c:pt idx="122">
                  <c:v>636.87607046012317</c:v>
                </c:pt>
                <c:pt idx="123">
                  <c:v>634.03076717619444</c:v>
                </c:pt>
                <c:pt idx="124">
                  <c:v>631.23630395248529</c:v>
                </c:pt>
                <c:pt idx="125">
                  <c:v>628.48949647840652</c:v>
                </c:pt>
                <c:pt idx="126">
                  <c:v>625.78806293703508</c:v>
                </c:pt>
                <c:pt idx="127">
                  <c:v>623.13010347192676</c:v>
                </c:pt>
                <c:pt idx="128">
                  <c:v>620.51340259304607</c:v>
                </c:pt>
                <c:pt idx="129">
                  <c:v>617.93581509724345</c:v>
                </c:pt>
                <c:pt idx="130">
                  <c:v>615.39536000312592</c:v>
                </c:pt>
                <c:pt idx="131">
                  <c:v>612.89066714674198</c:v>
                </c:pt>
                <c:pt idx="132">
                  <c:v>610.42017086259273</c:v>
                </c:pt>
                <c:pt idx="133">
                  <c:v>607.98165565563795</c:v>
                </c:pt>
                <c:pt idx="134">
                  <c:v>605.57281946385945</c:v>
                </c:pt>
                <c:pt idx="135">
                  <c:v>603.19193410629077</c:v>
                </c:pt>
                <c:pt idx="136">
                  <c:v>600.83813314023871</c:v>
                </c:pt>
                <c:pt idx="137">
                  <c:v>598.51132952616513</c:v>
                </c:pt>
                <c:pt idx="138">
                  <c:v>596.21176105626921</c:v>
                </c:pt>
                <c:pt idx="139">
                  <c:v>593.94006717848663</c:v>
                </c:pt>
                <c:pt idx="140">
                  <c:v>591.69689431270672</c:v>
                </c:pt>
                <c:pt idx="141">
                  <c:v>589.48275637901747</c:v>
                </c:pt>
                <c:pt idx="142">
                  <c:v>587.29806684282903</c:v>
                </c:pt>
                <c:pt idx="143">
                  <c:v>585.14328121073629</c:v>
                </c:pt>
                <c:pt idx="144">
                  <c:v>583.01900342297233</c:v>
                </c:pt>
                <c:pt idx="145">
                  <c:v>580.92610107601649</c:v>
                </c:pt>
                <c:pt idx="146">
                  <c:v>578.86574935148315</c:v>
                </c:pt>
                <c:pt idx="147">
                  <c:v>576.83942150101041</c:v>
                </c:pt>
                <c:pt idx="148">
                  <c:v>574.84889476456408</c:v>
                </c:pt>
                <c:pt idx="149">
                  <c:v>572.89624641622208</c:v>
                </c:pt>
                <c:pt idx="150">
                  <c:v>570.98384259374632</c:v>
                </c:pt>
              </c:numCache>
            </c:numRef>
          </c:val>
          <c:extLst>
            <c:ext xmlns:c16="http://schemas.microsoft.com/office/drawing/2014/chart" uri="{C3380CC4-5D6E-409C-BE32-E72D297353CC}">
              <c16:uniqueId val="{00000008-904B-46D1-8E42-2F21DE9458D8}"/>
            </c:ext>
          </c:extLst>
        </c:ser>
        <c:ser>
          <c:idx val="9"/>
          <c:order val="9"/>
          <c:tx>
            <c:strRef>
              <c:f>texts!$A$184</c:f>
              <c:strCache>
                <c:ptCount val="1"/>
                <c:pt idx="0">
                  <c:v>add. feed</c:v>
                </c:pt>
              </c:strCache>
            </c:strRef>
          </c:tx>
          <c:spPr>
            <a:solidFill>
              <a:srgbClr val="FF00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data!$HX$6:$HX$156</c:f>
              <c:numCache>
                <c:formatCode>0</c:formatCode>
                <c:ptCount val="151"/>
                <c:pt idx="64">
                  <c:v>255.2094583976739</c:v>
                </c:pt>
                <c:pt idx="65">
                  <c:v>249.77409357391883</c:v>
                </c:pt>
                <c:pt idx="66">
                  <c:v>244.53252843261953</c:v>
                </c:pt>
                <c:pt idx="67">
                  <c:v>239.47613463008577</c:v>
                </c:pt>
                <c:pt idx="68">
                  <c:v>234.59673818335588</c:v>
                </c:pt>
                <c:pt idx="69">
                  <c:v>229.88659137255303</c:v>
                </c:pt>
                <c:pt idx="70">
                  <c:v>225.33834665838444</c:v>
                </c:pt>
                <c:pt idx="71">
                  <c:v>220.9450324498718</c:v>
                </c:pt>
                <c:pt idx="72">
                  <c:v>210.5184281064717</c:v>
                </c:pt>
                <c:pt idx="73">
                  <c:v>200.46793397262971</c:v>
                </c:pt>
                <c:pt idx="74">
                  <c:v>190.77593399972665</c:v>
                </c:pt>
                <c:pt idx="75">
                  <c:v>181.42575475510552</c:v>
                </c:pt>
                <c:pt idx="76">
                  <c:v>172.40160883190364</c:v>
                </c:pt>
                <c:pt idx="77">
                  <c:v>163.68854210137863</c:v>
                </c:pt>
                <c:pt idx="78">
                  <c:v>155.27238451323345</c:v>
                </c:pt>
                <c:pt idx="79">
                  <c:v>147.13970417470924</c:v>
                </c:pt>
                <c:pt idx="80">
                  <c:v>139.27776446204999</c:v>
                </c:pt>
                <c:pt idx="81">
                  <c:v>131.67448393867119</c:v>
                </c:pt>
                <c:pt idx="82">
                  <c:v>124.31839887312842</c:v>
                </c:pt>
                <c:pt idx="83">
                  <c:v>117.19862816703946</c:v>
                </c:pt>
                <c:pt idx="84">
                  <c:v>110.3048405186169</c:v>
                </c:pt>
                <c:pt idx="85">
                  <c:v>103.62722366154898</c:v>
                </c:pt>
                <c:pt idx="86">
                  <c:v>97.156455531815553</c:v>
                </c:pt>
                <c:pt idx="87">
                  <c:v>90.883677226720962</c:v>
                </c:pt>
                <c:pt idx="88">
                  <c:v>84.800467631083123</c:v>
                </c:pt>
                <c:pt idx="89">
                  <c:v>78.898819595284792</c:v>
                </c:pt>
                <c:pt idx="90">
                  <c:v>73.171117558771869</c:v>
                </c:pt>
                <c:pt idx="91">
                  <c:v>67.610116520740704</c:v>
                </c:pt>
                <c:pt idx="92">
                  <c:v>62.208922267206781</c:v>
                </c:pt>
                <c:pt idx="93">
                  <c:v>56.960972770463265</c:v>
                </c:pt>
                <c:pt idx="94">
                  <c:v>51.860020683219069</c:v>
                </c:pt>
                <c:pt idx="95">
                  <c:v>46.900116855432337</c:v>
                </c:pt>
                <c:pt idx="96">
                  <c:v>42.075594807134209</c:v>
                </c:pt>
                <c:pt idx="97">
                  <c:v>37.38105609538988</c:v>
                </c:pt>
                <c:pt idx="98">
                  <c:v>32.811356517994795</c:v>
                </c:pt>
                <c:pt idx="99">
                  <c:v>28.361593100610232</c:v>
                </c:pt>
                <c:pt idx="100">
                  <c:v>24.027091817821997</c:v>
                </c:pt>
                <c:pt idx="101">
                  <c:v>19.80339600207888</c:v>
                </c:pt>
                <c:pt idx="102">
                  <c:v>19.554018675703741</c:v>
                </c:pt>
                <c:pt idx="103">
                  <c:v>19.311007818065395</c:v>
                </c:pt>
                <c:pt idx="104">
                  <c:v>19.074141972931194</c:v>
                </c:pt>
                <c:pt idx="105">
                  <c:v>18.843208514865665</c:v>
                </c:pt>
                <c:pt idx="106">
                  <c:v>18.618003249002903</c:v>
                </c:pt>
                <c:pt idx="107">
                  <c:v>18.398330031434607</c:v>
                </c:pt>
                <c:pt idx="108">
                  <c:v>18.184000409019468</c:v>
                </c:pt>
                <c:pt idx="109">
                  <c:v>17.974833277481359</c:v>
                </c:pt>
                <c:pt idx="110">
                  <c:v>17.770654556750525</c:v>
                </c:pt>
                <c:pt idx="111">
                  <c:v>17.571296882563576</c:v>
                </c:pt>
                <c:pt idx="112">
                  <c:v>17.376599313405837</c:v>
                </c:pt>
                <c:pt idx="113">
                  <c:v>17.186407051922991</c:v>
                </c:pt>
                <c:pt idx="114">
                  <c:v>17.000571180009644</c:v>
                </c:pt>
                <c:pt idx="115">
                  <c:v>16.81894840680636</c:v>
                </c:pt>
                <c:pt idx="116">
                  <c:v>16.64140082889816</c:v>
                </c:pt>
                <c:pt idx="117">
                  <c:v>16.467795702051127</c:v>
                </c:pt>
                <c:pt idx="118">
                  <c:v>16.298005223859363</c:v>
                </c:pt>
                <c:pt idx="119">
                  <c:v>16.131906326710066</c:v>
                </c:pt>
                <c:pt idx="120">
                  <c:v>15.96938048052373</c:v>
                </c:pt>
                <c:pt idx="121">
                  <c:v>15.810313504745235</c:v>
                </c:pt>
                <c:pt idx="122">
                  <c:v>15.654595389093883</c:v>
                </c:pt>
                <c:pt idx="123">
                  <c:v>15.502120122620651</c:v>
                </c:pt>
                <c:pt idx="124">
                  <c:v>15.352785530637048</c:v>
                </c:pt>
                <c:pt idx="125">
                  <c:v>15.206493119104262</c:v>
                </c:pt>
                <c:pt idx="126">
                  <c:v>15.063147926105458</c:v>
                </c:pt>
                <c:pt idx="127">
                  <c:v>14.922658380035678</c:v>
                </c:pt>
                <c:pt idx="128">
                  <c:v>14.784936164169585</c:v>
                </c:pt>
                <c:pt idx="129">
                  <c:v>14.649896087282478</c:v>
                </c:pt>
                <c:pt idx="130">
                  <c:v>14.517455960029274</c:v>
                </c:pt>
                <c:pt idx="131">
                  <c:v>14.387536476781559</c:v>
                </c:pt>
                <c:pt idx="132">
                  <c:v>14.260061102667885</c:v>
                </c:pt>
                <c:pt idx="133">
                  <c:v>14.134955965547015</c:v>
                </c:pt>
                <c:pt idx="134">
                  <c:v>14.012149752682003</c:v>
                </c:pt>
                <c:pt idx="135">
                  <c:v>13.891573611884166</c:v>
                </c:pt>
                <c:pt idx="136">
                  <c:v>13.773161056909682</c:v>
                </c:pt>
                <c:pt idx="137">
                  <c:v>13.656847876904658</c:v>
                </c:pt>
                <c:pt idx="138">
                  <c:v>13.542572049706694</c:v>
                </c:pt>
                <c:pt idx="139">
                  <c:v>13.430273658819566</c:v>
                </c:pt>
                <c:pt idx="140">
                  <c:v>13.319894813884922</c:v>
                </c:pt>
                <c:pt idx="141">
                  <c:v>13.211379574490946</c:v>
                </c:pt>
                <c:pt idx="142">
                  <c:v>13.104673877158771</c:v>
                </c:pt>
                <c:pt idx="143">
                  <c:v>12.999725465360017</c:v>
                </c:pt>
                <c:pt idx="144">
                  <c:v>12.896483822426948</c:v>
                </c:pt>
                <c:pt idx="145">
                  <c:v>12.794900107219933</c:v>
                </c:pt>
                <c:pt idx="146">
                  <c:v>12.694927092428228</c:v>
                </c:pt>
                <c:pt idx="147">
                  <c:v>12.596519105383138</c:v>
                </c:pt>
                <c:pt idx="148">
                  <c:v>12.499631971270492</c:v>
                </c:pt>
                <c:pt idx="149">
                  <c:v>12.404222958636367</c:v>
                </c:pt>
                <c:pt idx="150">
                  <c:v>12.310250727076868</c:v>
                </c:pt>
              </c:numCache>
            </c:numRef>
          </c:val>
          <c:extLst>
            <c:ext xmlns:c16="http://schemas.microsoft.com/office/drawing/2014/chart" uri="{C3380CC4-5D6E-409C-BE32-E72D297353CC}">
              <c16:uniqueId val="{00000009-904B-46D1-8E42-2F21DE9458D8}"/>
            </c:ext>
          </c:extLst>
        </c:ser>
        <c:ser>
          <c:idx val="10"/>
          <c:order val="10"/>
          <c:tx>
            <c:strRef>
              <c:f>texts!$A$176</c:f>
              <c:strCache>
                <c:ptCount val="1"/>
                <c:pt idx="0">
                  <c:v>pasture</c:v>
                </c:pt>
              </c:strCache>
            </c:strRef>
          </c:tx>
          <c:spPr>
            <a:solidFill>
              <a:srgbClr val="FF99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data!$HY$6:$HY$156</c:f>
              <c:numCache>
                <c:formatCode>0</c:formatCode>
                <c:ptCount val="151"/>
                <c:pt idx="64">
                  <c:v>4464.5146727720576</c:v>
                </c:pt>
                <c:pt idx="65">
                  <c:v>4388.4687294743699</c:v>
                </c:pt>
                <c:pt idx="66">
                  <c:v>4313.6805405273981</c:v>
                </c:pt>
                <c:pt idx="67">
                  <c:v>4240.128281502105</c:v>
                </c:pt>
                <c:pt idx="68">
                  <c:v>4167.7906058142926</c:v>
                </c:pt>
                <c:pt idx="69">
                  <c:v>4096.6466291710021</c:v>
                </c:pt>
                <c:pt idx="70">
                  <c:v>4026.6759147053685</c:v>
                </c:pt>
                <c:pt idx="71">
                  <c:v>3957.858458764395</c:v>
                </c:pt>
                <c:pt idx="72">
                  <c:v>3779.2032422167035</c:v>
                </c:pt>
                <c:pt idx="73">
                  <c:v>3605.4604442441823</c:v>
                </c:pt>
                <c:pt idx="74">
                  <c:v>3436.5175123373983</c:v>
                </c:pt>
                <c:pt idx="75">
                  <c:v>3272.2643758712466</c:v>
                </c:pt>
                <c:pt idx="76">
                  <c:v>3112.5933817980031</c:v>
                </c:pt>
                <c:pt idx="77">
                  <c:v>2957.3992326902398</c:v>
                </c:pt>
                <c:pt idx="78">
                  <c:v>2806.5789270191117</c:v>
                </c:pt>
                <c:pt idx="79">
                  <c:v>2660.0317015600776</c:v>
                </c:pt>
                <c:pt idx="80">
                  <c:v>2517.6589758239352</c:v>
                </c:pt>
                <c:pt idx="81">
                  <c:v>2379.3642984169533</c:v>
                </c:pt>
                <c:pt idx="82">
                  <c:v>2245.0532952389908</c:v>
                </c:pt>
                <c:pt idx="83">
                  <c:v>2114.6336194336322</c:v>
                </c:pt>
                <c:pt idx="84">
                  <c:v>1988.0149030090085</c:v>
                </c:pt>
                <c:pt idx="85">
                  <c:v>1865.1087100523926</c:v>
                </c:pt>
                <c:pt idx="86">
                  <c:v>1745.8284914658734</c:v>
                </c:pt>
                <c:pt idx="87">
                  <c:v>1630.089541154234</c:v>
                </c:pt>
                <c:pt idx="88">
                  <c:v>1517.8089535999331</c:v>
                </c:pt>
                <c:pt idx="89">
                  <c:v>1408.9055827635289</c:v>
                </c:pt>
                <c:pt idx="90">
                  <c:v>1303.3000022511271</c:v>
                </c:pt>
                <c:pt idx="91">
                  <c:v>1200.9144666935629</c:v>
                </c:pt>
                <c:pt idx="92">
                  <c:v>1101.6728742849255</c:v>
                </c:pt>
                <c:pt idx="93">
                  <c:v>1005.5007304307128</c:v>
                </c:pt>
                <c:pt idx="94">
                  <c:v>912.32511245857199</c:v>
                </c:pt>
                <c:pt idx="95">
                  <c:v>822.07463534697467</c:v>
                </c:pt>
                <c:pt idx="96">
                  <c:v>734.6794184294622</c:v>
                </c:pt>
                <c:pt idx="97">
                  <c:v>650.0710530343116</c:v>
                </c:pt>
                <c:pt idx="98">
                  <c:v>568.18257102146788</c:v>
                </c:pt>
                <c:pt idx="99">
                  <c:v>488.94841418058036</c:v>
                </c:pt>
                <c:pt idx="100">
                  <c:v>412.30440445575118</c:v>
                </c:pt>
                <c:pt idx="101">
                  <c:v>338.18771496438939</c:v>
                </c:pt>
                <c:pt idx="102">
                  <c:v>332.25688666763034</c:v>
                </c:pt>
                <c:pt idx="103">
                  <c:v>326.42431295495629</c:v>
                </c:pt>
                <c:pt idx="104">
                  <c:v>320.68843009038295</c:v>
                </c:pt>
                <c:pt idx="105">
                  <c:v>315.04770006129917</c:v>
                </c:pt>
                <c:pt idx="106">
                  <c:v>309.500610045342</c:v>
                </c:pt>
                <c:pt idx="107">
                  <c:v>304.04567189400046</c:v>
                </c:pt>
                <c:pt idx="108">
                  <c:v>298.68142163228458</c:v>
                </c:pt>
                <c:pt idx="109">
                  <c:v>293.40641897373564</c:v>
                </c:pt>
                <c:pt idx="110">
                  <c:v>288.21924685017245</c:v>
                </c:pt>
                <c:pt idx="111">
                  <c:v>283.11851095552908</c:v>
                </c:pt>
                <c:pt idx="112">
                  <c:v>278.10283930322072</c:v>
                </c:pt>
                <c:pt idx="113">
                  <c:v>273.17088179647124</c:v>
                </c:pt>
                <c:pt idx="114">
                  <c:v>268.32130981107093</c:v>
                </c:pt>
                <c:pt idx="115">
                  <c:v>263.55281579006709</c:v>
                </c:pt>
                <c:pt idx="116">
                  <c:v>258.86411284988861</c:v>
                </c:pt>
                <c:pt idx="117">
                  <c:v>254.25393439745915</c:v>
                </c:pt>
                <c:pt idx="118">
                  <c:v>249.72103375785989</c:v>
                </c:pt>
                <c:pt idx="119">
                  <c:v>245.26418381210999</c:v>
                </c:pt>
                <c:pt idx="120">
                  <c:v>240.88217664468027</c:v>
                </c:pt>
                <c:pt idx="121">
                  <c:v>236.57382320035202</c:v>
                </c:pt>
                <c:pt idx="122">
                  <c:v>232.33795295006354</c:v>
                </c:pt>
                <c:pt idx="123">
                  <c:v>228.17341356538648</c:v>
                </c:pt>
                <c:pt idx="124">
                  <c:v>224.07907060131299</c:v>
                </c:pt>
                <c:pt idx="125">
                  <c:v>220.05380718703654</c:v>
                </c:pt>
                <c:pt idx="126">
                  <c:v>216.09652372441025</c:v>
                </c:pt>
                <c:pt idx="127">
                  <c:v>212.20613759382033</c:v>
                </c:pt>
                <c:pt idx="128">
                  <c:v>208.38158286718001</c:v>
                </c:pt>
                <c:pt idx="129">
                  <c:v>204.62181002777854</c:v>
                </c:pt>
                <c:pt idx="130">
                  <c:v>200.92578569675931</c:v>
                </c:pt>
                <c:pt idx="131">
                  <c:v>197.29249236595885</c:v>
                </c:pt>
                <c:pt idx="132">
                  <c:v>193.72092813689375</c:v>
                </c:pt>
                <c:pt idx="133">
                  <c:v>190.21010646567751</c:v>
                </c:pt>
                <c:pt idx="134">
                  <c:v>186.75905591364696</c:v>
                </c:pt>
                <c:pt idx="135">
                  <c:v>183.36681990350934</c:v>
                </c:pt>
                <c:pt idx="136">
                  <c:v>180.03245648081852</c:v>
                </c:pt>
                <c:pt idx="137">
                  <c:v>176.75503808058397</c:v>
                </c:pt>
                <c:pt idx="138">
                  <c:v>173.53365129886197</c:v>
                </c:pt>
                <c:pt idx="139">
                  <c:v>170.36739666913601</c:v>
                </c:pt>
                <c:pt idx="140">
                  <c:v>167.25538844334883</c:v>
                </c:pt>
                <c:pt idx="141">
                  <c:v>164.19675437741509</c:v>
                </c:pt>
                <c:pt idx="142">
                  <c:v>161.19063552108182</c:v>
                </c:pt>
                <c:pt idx="143">
                  <c:v>158.23618601198987</c:v>
                </c:pt>
                <c:pt idx="144">
                  <c:v>155.3325728738032</c:v>
                </c:pt>
                <c:pt idx="145">
                  <c:v>152.47897581828246</c:v>
                </c:pt>
                <c:pt idx="146">
                  <c:v>149.67458705117025</c:v>
                </c:pt>
                <c:pt idx="147">
                  <c:v>146.91861108178361</c:v>
                </c:pt>
                <c:pt idx="148">
                  <c:v>144.21026453618506</c:v>
                </c:pt>
                <c:pt idx="149">
                  <c:v>141.54877597384402</c:v>
                </c:pt>
                <c:pt idx="150">
                  <c:v>138.93338570766528</c:v>
                </c:pt>
              </c:numCache>
            </c:numRef>
          </c:val>
          <c:extLst>
            <c:ext xmlns:c16="http://schemas.microsoft.com/office/drawing/2014/chart" uri="{C3380CC4-5D6E-409C-BE32-E72D297353CC}">
              <c16:uniqueId val="{0000000A-904B-46D1-8E42-2F21DE9458D8}"/>
            </c:ext>
          </c:extLst>
        </c:ser>
        <c:dLbls>
          <c:showLegendKey val="0"/>
          <c:showVal val="0"/>
          <c:showCatName val="0"/>
          <c:showSerName val="0"/>
          <c:showPercent val="0"/>
          <c:showBubbleSize val="0"/>
        </c:dLbls>
        <c:axId val="408152272"/>
        <c:axId val="408150312"/>
      </c:areaChart>
      <c:catAx>
        <c:axId val="408152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150312"/>
        <c:crosses val="autoZero"/>
        <c:auto val="1"/>
        <c:lblAlgn val="ctr"/>
        <c:lblOffset val="100"/>
        <c:tickLblSkip val="50"/>
        <c:tickMarkSkip val="50"/>
        <c:noMultiLvlLbl val="0"/>
      </c:catAx>
      <c:valAx>
        <c:axId val="408150312"/>
        <c:scaling>
          <c:orientation val="minMax"/>
          <c:max val="10000"/>
          <c:min val="0"/>
        </c:scaling>
        <c:delete val="0"/>
        <c:axPos val="l"/>
        <c:majorGridlines>
          <c:spPr>
            <a:ln w="9525" cap="flat" cmpd="sng" algn="ctr">
              <a:solidFill>
                <a:schemeClr val="tx1">
                  <a:lumMod val="15000"/>
                  <a:lumOff val="85000"/>
                </a:schemeClr>
              </a:solidFill>
              <a:round/>
            </a:ln>
            <a:effectLst/>
          </c:spPr>
        </c:majorGridlines>
        <c:title>
          <c:tx>
            <c:strRef>
              <c:f>texts!$A$174</c:f>
              <c:strCache>
                <c:ptCount val="1"/>
                <c:pt idx="0">
                  <c:v>in 1000 m² per capita</c:v>
                </c:pt>
              </c:strCache>
            </c:strRef>
          </c:tx>
          <c:layout>
            <c:manualLayout>
              <c:xMode val="edge"/>
              <c:yMode val="edge"/>
              <c:x val="2.3712935376321207E-3"/>
              <c:y val="0.107251578492447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408152272"/>
        <c:crosses val="autoZero"/>
        <c:crossBetween val="midCat"/>
        <c:dispUnits>
          <c:builtInUnit val="thousands"/>
        </c:dispUnits>
      </c:valAx>
      <c:spPr>
        <a:noFill/>
        <a:ln>
          <a:noFill/>
        </a:ln>
        <a:effectLst/>
      </c:spPr>
    </c:plotArea>
    <c:legend>
      <c:legendPos val="r"/>
      <c:layout>
        <c:manualLayout>
          <c:xMode val="edge"/>
          <c:yMode val="edge"/>
          <c:x val="0.68552462403348235"/>
          <c:y val="8.0057763863854614E-4"/>
          <c:w val="0.30602943002057176"/>
          <c:h val="0.90549125636403882"/>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4250661191091"/>
          <c:y val="0.13221132277824282"/>
          <c:w val="0.55369634768735077"/>
          <c:h val="0.71602383305085304"/>
        </c:manualLayout>
      </c:layout>
      <c:scatterChart>
        <c:scatterStyle val="smoothMarker"/>
        <c:varyColors val="0"/>
        <c:ser>
          <c:idx val="1"/>
          <c:order val="1"/>
          <c:tx>
            <c:strRef>
              <c:f>texts!$A$189</c:f>
              <c:strCache>
                <c:ptCount val="1"/>
                <c:pt idx="0">
                  <c:v>available fert. land</c:v>
                </c:pt>
              </c:strCache>
            </c:strRef>
          </c:tx>
          <c:spPr>
            <a:ln w="19050" cap="rnd">
              <a:solidFill>
                <a:schemeClr val="tx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data!$IC$4:$IC$156</c:f>
              <c:numCache>
                <c:formatCode>0</c:formatCode>
                <c:ptCount val="153"/>
                <c:pt idx="42">
                  <c:v>9044.2777550259252</c:v>
                </c:pt>
                <c:pt idx="43">
                  <c:v>8907.5381935491205</c:v>
                </c:pt>
                <c:pt idx="44">
                  <c:v>8839.8925508769917</c:v>
                </c:pt>
                <c:pt idx="45">
                  <c:v>8679.2982384395818</c:v>
                </c:pt>
                <c:pt idx="46">
                  <c:v>8589.2398265639004</c:v>
                </c:pt>
                <c:pt idx="47">
                  <c:v>8465.182226453433</c:v>
                </c:pt>
                <c:pt idx="48">
                  <c:v>8365.6818662443802</c:v>
                </c:pt>
                <c:pt idx="49">
                  <c:v>8286.7737736896779</c:v>
                </c:pt>
                <c:pt idx="50">
                  <c:v>8200.7412092954928</c:v>
                </c:pt>
                <c:pt idx="51">
                  <c:v>8098.3415780206951</c:v>
                </c:pt>
                <c:pt idx="52">
                  <c:v>8000.599097535739</c:v>
                </c:pt>
                <c:pt idx="53">
                  <c:v>7892.4517425775102</c:v>
                </c:pt>
                <c:pt idx="54">
                  <c:v>7772.188582988254</c:v>
                </c:pt>
                <c:pt idx="55">
                  <c:v>7650.4085089669707</c:v>
                </c:pt>
                <c:pt idx="56">
                  <c:v>7499.7066420459087</c:v>
                </c:pt>
                <c:pt idx="57">
                  <c:v>7422.7984021483535</c:v>
                </c:pt>
                <c:pt idx="58">
                  <c:v>7325.4127652418638</c:v>
                </c:pt>
                <c:pt idx="59">
                  <c:v>7227.8597758595379</c:v>
                </c:pt>
                <c:pt idx="60">
                  <c:v>7125.4685182582925</c:v>
                </c:pt>
                <c:pt idx="61">
                  <c:v>7029.7111315364737</c:v>
                </c:pt>
                <c:pt idx="62">
                  <c:v>6951.2989208775662</c:v>
                </c:pt>
                <c:pt idx="63">
                  <c:v>6843.0833251238446</c:v>
                </c:pt>
                <c:pt idx="64">
                  <c:v>6762.913024395938</c:v>
                </c:pt>
                <c:pt idx="65">
                  <c:v>6667.4715575849032</c:v>
                </c:pt>
                <c:pt idx="66">
                  <c:v>6588.6502498481159</c:v>
                </c:pt>
                <c:pt idx="67">
                  <c:v>6500.9302415135126</c:v>
                </c:pt>
                <c:pt idx="68">
                  <c:v>6423.865249991909</c:v>
                </c:pt>
                <c:pt idx="69">
                  <c:v>6396.1974521012844</c:v>
                </c:pt>
                <c:pt idx="70">
                  <c:v>6325.8449949429923</c:v>
                </c:pt>
                <c:pt idx="71">
                  <c:v>6257.7043034884637</c:v>
                </c:pt>
                <c:pt idx="72">
                  <c:v>6191.8349039355935</c:v>
                </c:pt>
                <c:pt idx="73">
                  <c:v>6125.6931440003045</c:v>
                </c:pt>
                <c:pt idx="74">
                  <c:v>6060.9441798547659</c:v>
                </c:pt>
                <c:pt idx="75">
                  <c:v>5997.6718343563116</c:v>
                </c:pt>
                <c:pt idx="76">
                  <c:v>5935.8960644500976</c:v>
                </c:pt>
                <c:pt idx="77">
                  <c:v>5875.6160246648133</c:v>
                </c:pt>
                <c:pt idx="78">
                  <c:v>5816.8388371114606</c:v>
                </c:pt>
                <c:pt idx="79">
                  <c:v>5759.5521110062464</c:v>
                </c:pt>
                <c:pt idx="80">
                  <c:v>5703.6911981574876</c:v>
                </c:pt>
                <c:pt idx="81">
                  <c:v>5649.1752600201389</c:v>
                </c:pt>
                <c:pt idx="82">
                  <c:v>5595.9369180214808</c:v>
                </c:pt>
                <c:pt idx="83">
                  <c:v>5543.9409705012058</c:v>
                </c:pt>
                <c:pt idx="84">
                  <c:v>5493.2053496631888</c:v>
                </c:pt>
                <c:pt idx="85">
                  <c:v>5443.8018073201338</c:v>
                </c:pt>
                <c:pt idx="86">
                  <c:v>5395.8284008324845</c:v>
                </c:pt>
                <c:pt idx="87">
                  <c:v>5349.3367526543207</c:v>
                </c:pt>
                <c:pt idx="88">
                  <c:v>5304.315138244523</c:v>
                </c:pt>
                <c:pt idx="89">
                  <c:v>5260.6916153169841</c:v>
                </c:pt>
                <c:pt idx="90">
                  <c:v>5218.3799826333834</c:v>
                </c:pt>
                <c:pt idx="91">
                  <c:v>5177.2712916392329</c:v>
                </c:pt>
                <c:pt idx="92">
                  <c:v>5137.2757991648778</c:v>
                </c:pt>
                <c:pt idx="93">
                  <c:v>5098.3487281962389</c:v>
                </c:pt>
                <c:pt idx="94">
                  <c:v>5060.4609818154831</c:v>
                </c:pt>
                <c:pt idx="95">
                  <c:v>5023.5592027354269</c:v>
                </c:pt>
                <c:pt idx="96">
                  <c:v>4987.5902642264173</c:v>
                </c:pt>
                <c:pt idx="97">
                  <c:v>4952.5058907660505</c:v>
                </c:pt>
                <c:pt idx="98">
                  <c:v>4918.2679783055619</c:v>
                </c:pt>
                <c:pt idx="99">
                  <c:v>4884.8402980568271</c:v>
                </c:pt>
                <c:pt idx="100">
                  <c:v>4852.1817968058876</c:v>
                </c:pt>
                <c:pt idx="101">
                  <c:v>4820.2520805472241</c:v>
                </c:pt>
                <c:pt idx="102">
                  <c:v>4789.0166996974949</c:v>
                </c:pt>
                <c:pt idx="103">
                  <c:v>4758.4464308626275</c:v>
                </c:pt>
                <c:pt idx="104">
                  <c:v>4728.5200491358073</c:v>
                </c:pt>
                <c:pt idx="105">
                  <c:v>4699.222165896299</c:v>
                </c:pt>
                <c:pt idx="106">
                  <c:v>4670.5423540806241</c:v>
                </c:pt>
                <c:pt idx="107">
                  <c:v>4642.4684140268009</c:v>
                </c:pt>
                <c:pt idx="108">
                  <c:v>4614.9840514223597</c:v>
                </c:pt>
                <c:pt idx="109">
                  <c:v>4588.0712210292022</c:v>
                </c:pt>
                <c:pt idx="110">
                  <c:v>4561.716035204322</c:v>
                </c:pt>
                <c:pt idx="111">
                  <c:v>4535.9049987167336</c:v>
                </c:pt>
                <c:pt idx="112">
                  <c:v>4510.6257235497224</c:v>
                </c:pt>
                <c:pt idx="113">
                  <c:v>4485.8634840635577</c:v>
                </c:pt>
                <c:pt idx="114">
                  <c:v>4461.6069299368046</c:v>
                </c:pt>
                <c:pt idx="115">
                  <c:v>4437.851064625208</c:v>
                </c:pt>
                <c:pt idx="116">
                  <c:v>4414.5933558080833</c:v>
                </c:pt>
                <c:pt idx="117">
                  <c:v>4391.8279050554565</c:v>
                </c:pt>
                <c:pt idx="118">
                  <c:v>4369.5421041021009</c:v>
                </c:pt>
                <c:pt idx="119">
                  <c:v>4347.7200500393947</c:v>
                </c:pt>
                <c:pt idx="120">
                  <c:v>4326.3474048540184</c:v>
                </c:pt>
                <c:pt idx="121">
                  <c:v>4305.4089035574852</c:v>
                </c:pt>
                <c:pt idx="122">
                  <c:v>4284.888548736606</c:v>
                </c:pt>
                <c:pt idx="123">
                  <c:v>4265.1721176931824</c:v>
                </c:pt>
                <c:pt idx="124">
                  <c:v>4245.8404697341548</c:v>
                </c:pt>
                <c:pt idx="125">
                  <c:v>4226.8717811746301</c:v>
                </c:pt>
                <c:pt idx="126">
                  <c:v>4208.2420263499025</c:v>
                </c:pt>
                <c:pt idx="127">
                  <c:v>4189.9299765227106</c:v>
                </c:pt>
                <c:pt idx="128">
                  <c:v>4171.920419580234</c:v>
                </c:pt>
                <c:pt idx="129">
                  <c:v>4154.2006898128448</c:v>
                </c:pt>
                <c:pt idx="130">
                  <c:v>4136.7560172869744</c:v>
                </c:pt>
                <c:pt idx="131">
                  <c:v>4119.5721006482891</c:v>
                </c:pt>
                <c:pt idx="132">
                  <c:v>4102.6357333541728</c:v>
                </c:pt>
                <c:pt idx="133">
                  <c:v>4085.93778097828</c:v>
                </c:pt>
                <c:pt idx="134">
                  <c:v>4069.4678057506185</c:v>
                </c:pt>
                <c:pt idx="135">
                  <c:v>4053.2110377042532</c:v>
                </c:pt>
                <c:pt idx="136">
                  <c:v>4037.152129759063</c:v>
                </c:pt>
                <c:pt idx="137">
                  <c:v>4021.279560708605</c:v>
                </c:pt>
                <c:pt idx="138">
                  <c:v>4005.5875542682584</c:v>
                </c:pt>
                <c:pt idx="139">
                  <c:v>3990.0755301744343</c:v>
                </c:pt>
                <c:pt idx="140">
                  <c:v>3974.7450737084619</c:v>
                </c:pt>
                <c:pt idx="141">
                  <c:v>3959.6004478565774</c:v>
                </c:pt>
                <c:pt idx="142">
                  <c:v>3944.6459620847113</c:v>
                </c:pt>
                <c:pt idx="143">
                  <c:v>3929.8850425267833</c:v>
                </c:pt>
                <c:pt idx="144">
                  <c:v>3915.32044561886</c:v>
                </c:pt>
                <c:pt idx="145">
                  <c:v>3900.9552080715753</c:v>
                </c:pt>
                <c:pt idx="146">
                  <c:v>3886.793356153149</c:v>
                </c:pt>
                <c:pt idx="147">
                  <c:v>3872.84067384011</c:v>
                </c:pt>
                <c:pt idx="148">
                  <c:v>3859.1049956765546</c:v>
                </c:pt>
                <c:pt idx="149">
                  <c:v>3845.5961433400698</c:v>
                </c:pt>
                <c:pt idx="150">
                  <c:v>3832.325965097094</c:v>
                </c:pt>
                <c:pt idx="151">
                  <c:v>3819.3083094414801</c:v>
                </c:pt>
                <c:pt idx="152">
                  <c:v>3806.5589506249753</c:v>
                </c:pt>
              </c:numCache>
            </c:numRef>
          </c:yVal>
          <c:smooth val="1"/>
          <c:extLst>
            <c:ext xmlns:c16="http://schemas.microsoft.com/office/drawing/2014/chart" uri="{C3380CC4-5D6E-409C-BE32-E72D297353CC}">
              <c16:uniqueId val="{00000000-D23C-4D58-9B5C-D21AC4F86859}"/>
            </c:ext>
          </c:extLst>
        </c:ser>
        <c:dLbls>
          <c:showLegendKey val="0"/>
          <c:showVal val="0"/>
          <c:showCatName val="0"/>
          <c:showSerName val="0"/>
          <c:showPercent val="0"/>
          <c:showBubbleSize val="0"/>
        </c:dLbls>
        <c:axId val="408153056"/>
        <c:axId val="408150704"/>
        <c:extLst>
          <c:ext xmlns:c15="http://schemas.microsoft.com/office/drawing/2012/chart" uri="{02D57815-91ED-43cb-92C2-25804820EDAC}">
            <c15:filteredScatterSeries>
              <c15:ser>
                <c:idx val="0"/>
                <c:order val="0"/>
                <c:tx>
                  <c:strRef>
                    <c:extLst>
                      <c:ext uri="{02D57815-91ED-43cb-92C2-25804820EDAC}">
                        <c15:formulaRef>
                          <c15:sqref>data!$IA$1:$IA$3</c15:sqref>
                        </c15:formulaRef>
                      </c:ext>
                    </c:extLst>
                    <c:strCache>
                      <c:ptCount val="3"/>
                      <c:pt idx="0">
                        <c:v>for land-area diagram</c:v>
                      </c:pt>
                      <c:pt idx="1">
                        <c:v>sum areas</c:v>
                      </c:pt>
                      <c:pt idx="2">
                        <c:v>m^2/cap</c:v>
                      </c:pt>
                    </c:strCache>
                  </c:strRef>
                </c:tx>
                <c:spPr>
                  <a:ln w="19050" cap="rnd">
                    <a:solidFill>
                      <a:srgbClr val="FF9900"/>
                    </a:solidFill>
                    <a:round/>
                  </a:ln>
                  <a:effectLst/>
                </c:spPr>
                <c:marker>
                  <c:symbol val="none"/>
                </c:marker>
                <c:xVal>
                  <c:numRef>
                    <c:extLst>
                      <c:ext uri="{02D57815-91ED-43cb-92C2-25804820EDAC}">
                        <c15:formulaRef>
                          <c15:sqref>data!$A$4:$A$156</c15:sqref>
                        </c15:formulaRef>
                      </c:ext>
                    </c:extLst>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extLst>
                      <c:ext uri="{02D57815-91ED-43cb-92C2-25804820EDAC}">
                        <c15:formulaRef>
                          <c15:sqref>data!$IA$4:$IA$156</c15:sqref>
                        </c15:formulaRef>
                      </c:ext>
                    </c:extLst>
                    <c:numCache>
                      <c:formatCode>0</c:formatCode>
                      <c:ptCount val="153"/>
                      <c:pt idx="66">
                        <c:v>6499.737936136944</c:v>
                      </c:pt>
                      <c:pt idx="67">
                        <c:v>6401.6545662620938</c:v>
                      </c:pt>
                      <c:pt idx="68">
                        <c:v>6304.905387713573</c:v>
                      </c:pt>
                      <c:pt idx="69">
                        <c:v>6212.0758109393882</c:v>
                      </c:pt>
                      <c:pt idx="70">
                        <c:v>6126.7791530642671</c:v>
                      </c:pt>
                      <c:pt idx="71">
                        <c:v>6032.3697999624792</c:v>
                      </c:pt>
                      <c:pt idx="72">
                        <c:v>5939.7761019563441</c:v>
                      </c:pt>
                      <c:pt idx="73">
                        <c:v>5848.8820791494536</c:v>
                      </c:pt>
                      <c:pt idx="74">
                        <c:v>5762.5138731739371</c:v>
                      </c:pt>
                      <c:pt idx="75">
                        <c:v>5680.1191941953002</c:v>
                      </c:pt>
                      <c:pt idx="76">
                        <c:v>5601.6360120597456</c:v>
                      </c:pt>
                      <c:pt idx="77">
                        <c:v>5527.0035887813701</c:v>
                      </c:pt>
                      <c:pt idx="78">
                        <c:v>5456.1636299940383</c:v>
                      </c:pt>
                      <c:pt idx="79">
                        <c:v>5389.0583334019784</c:v>
                      </c:pt>
                      <c:pt idx="80">
                        <c:v>5325.6264436667043</c:v>
                      </c:pt>
                      <c:pt idx="81">
                        <c:v>5265.8045078105661</c:v>
                      </c:pt>
                      <c:pt idx="82">
                        <c:v>5209.5294000318718</c:v>
                      </c:pt>
                      <c:pt idx="83">
                        <c:v>5156.7411570394288</c:v>
                      </c:pt>
                      <c:pt idx="84">
                        <c:v>5107.3871193832929</c:v>
                      </c:pt>
                      <c:pt idx="85">
                        <c:v>5061.4244132693057</c:v>
                      </c:pt>
                      <c:pt idx="86">
                        <c:v>5018.8183178171521</c:v>
                      </c:pt>
                      <c:pt idx="87">
                        <c:v>4979.5320733055605</c:v>
                      </c:pt>
                      <c:pt idx="88">
                        <c:v>4943.5219538551864</c:v>
                      </c:pt>
                      <c:pt idx="89">
                        <c:v>4910.7349182634371</c:v>
                      </c:pt>
                      <c:pt idx="90">
                        <c:v>4881.1142831531415</c:v>
                      </c:pt>
                      <c:pt idx="91">
                        <c:v>4854.597426452945</c:v>
                      </c:pt>
                      <c:pt idx="92">
                        <c:v>4831.1231833199281</c:v>
                      </c:pt>
                      <c:pt idx="93">
                        <c:v>4810.6381104050115</c:v>
                      </c:pt>
                      <c:pt idx="94">
                        <c:v>4793.0920705471708</c:v>
                      </c:pt>
                      <c:pt idx="95">
                        <c:v>4778.4297968328638</c:v>
                      </c:pt>
                      <c:pt idx="96">
                        <c:v>4766.595587983019</c:v>
                      </c:pt>
                      <c:pt idx="97">
                        <c:v>4757.5344341474292</c:v>
                      </c:pt>
                      <c:pt idx="98">
                        <c:v>4751.1935712785089</c:v>
                      </c:pt>
                      <c:pt idx="99">
                        <c:v>4747.5207228773143</c:v>
                      </c:pt>
                      <c:pt idx="100">
                        <c:v>4746.4623295053134</c:v>
                      </c:pt>
                      <c:pt idx="101">
                        <c:v>4747.9648570812778</c:v>
                      </c:pt>
                      <c:pt idx="102">
                        <c:v>4751.9763440719107</c:v>
                      </c:pt>
                      <c:pt idx="103">
                        <c:v>4758.4464308626257</c:v>
                      </c:pt>
                      <c:pt idx="104">
                        <c:v>4718.0916707124143</c:v>
                      </c:pt>
                      <c:pt idx="105">
                        <c:v>4678.5031628166853</c:v>
                      </c:pt>
                      <c:pt idx="106">
                        <c:v>4639.6616154910307</c:v>
                      </c:pt>
                      <c:pt idx="107">
                        <c:v>4601.547780461432</c:v>
                      </c:pt>
                      <c:pt idx="108">
                        <c:v>4564.1417569072382</c:v>
                      </c:pt>
                      <c:pt idx="109">
                        <c:v>4527.4236802557962</c:v>
                      </c:pt>
                      <c:pt idx="110">
                        <c:v>4491.3754358909791</c:v>
                      </c:pt>
                      <c:pt idx="111">
                        <c:v>4455.9795192625133</c:v>
                      </c:pt>
                      <c:pt idx="112">
                        <c:v>4421.2192214871739</c:v>
                      </c:pt>
                      <c:pt idx="113">
                        <c:v>4387.0776103104463</c:v>
                      </c:pt>
                      <c:pt idx="114">
                        <c:v>4353.539168616654</c:v>
                      </c:pt>
                      <c:pt idx="115">
                        <c:v>4320.5906132706295</c:v>
                      </c:pt>
                      <c:pt idx="116">
                        <c:v>4288.2197357946116</c:v>
                      </c:pt>
                      <c:pt idx="117">
                        <c:v>4256.4137169624983</c:v>
                      </c:pt>
                      <c:pt idx="118">
                        <c:v>4225.15818288024</c:v>
                      </c:pt>
                      <c:pt idx="119">
                        <c:v>4194.4381903852181</c:v>
                      </c:pt>
                      <c:pt idx="120">
                        <c:v>4164.2395981270865</c:v>
                      </c:pt>
                      <c:pt idx="121">
                        <c:v>4134.5483467146732</c:v>
                      </c:pt>
                      <c:pt idx="122">
                        <c:v>4105.3505051907432</c:v>
                      </c:pt>
                      <c:pt idx="123">
                        <c:v>4072.9233899202454</c:v>
                      </c:pt>
                      <c:pt idx="124">
                        <c:v>4041.0181845092466</c:v>
                      </c:pt>
                      <c:pt idx="125">
                        <c:v>4009.6190445629795</c:v>
                      </c:pt>
                      <c:pt idx="126">
                        <c:v>3978.7098672840998</c:v>
                      </c:pt>
                      <c:pt idx="127">
                        <c:v>3948.2756639862905</c:v>
                      </c:pt>
                      <c:pt idx="128">
                        <c:v>3918.303418483204</c:v>
                      </c:pt>
                      <c:pt idx="129">
                        <c:v>3888.7811014798021</c:v>
                      </c:pt>
                      <c:pt idx="130">
                        <c:v>3859.6963828023372</c:v>
                      </c:pt>
                      <c:pt idx="131">
                        <c:v>3831.0373297986685</c:v>
                      </c:pt>
                      <c:pt idx="132">
                        <c:v>3802.792565855204</c:v>
                      </c:pt>
                      <c:pt idx="133">
                        <c:v>3774.9520608716648</c:v>
                      </c:pt>
                      <c:pt idx="134">
                        <c:v>3747.505659974574</c:v>
                      </c:pt>
                      <c:pt idx="135">
                        <c:v>3720.4422686594366</c:v>
                      </c:pt>
                      <c:pt idx="136">
                        <c:v>3693.7508671958062</c:v>
                      </c:pt>
                      <c:pt idx="137">
                        <c:v>3667.4216798966295</c:v>
                      </c:pt>
                      <c:pt idx="138">
                        <c:v>3641.446663619301</c:v>
                      </c:pt>
                      <c:pt idx="139">
                        <c:v>3615.819333860165</c:v>
                      </c:pt>
                      <c:pt idx="140">
                        <c:v>3590.533938141406</c:v>
                      </c:pt>
                      <c:pt idx="141">
                        <c:v>3565.5855780860707</c:v>
                      </c:pt>
                      <c:pt idx="142">
                        <c:v>3540.9695030665202</c:v>
                      </c:pt>
                      <c:pt idx="143">
                        <c:v>3516.6808620090655</c:v>
                      </c:pt>
                      <c:pt idx="144">
                        <c:v>3492.7147584092099</c:v>
                      </c:pt>
                      <c:pt idx="145">
                        <c:v>3469.0664965548244</c:v>
                      </c:pt>
                      <c:pt idx="146">
                        <c:v>3445.7317612335632</c:v>
                      </c:pt>
                      <c:pt idx="147">
                        <c:v>3422.7068099768253</c:v>
                      </c:pt>
                      <c:pt idx="148">
                        <c:v>3399.9885394395174</c:v>
                      </c:pt>
                      <c:pt idx="149">
                        <c:v>3377.5744589796523</c:v>
                      </c:pt>
                      <c:pt idx="150">
                        <c:v>3355.462691346373</c:v>
                      </c:pt>
                      <c:pt idx="151">
                        <c:v>3333.6519566534498</c:v>
                      </c:pt>
                      <c:pt idx="152">
                        <c:v>3312.1415444636896</c:v>
                      </c:pt>
                    </c:numCache>
                  </c:numRef>
                </c:yVal>
                <c:smooth val="1"/>
                <c:extLst>
                  <c:ext xmlns:c16="http://schemas.microsoft.com/office/drawing/2014/chart" uri="{C3380CC4-5D6E-409C-BE32-E72D297353CC}">
                    <c16:uniqueId val="{00000001-D23C-4D58-9B5C-D21AC4F86859}"/>
                  </c:ext>
                </c:extLst>
              </c15:ser>
            </c15:filteredScatterSeries>
          </c:ext>
        </c:extLst>
      </c:scatterChart>
      <c:valAx>
        <c:axId val="408153056"/>
        <c:scaling>
          <c:orientation val="minMax"/>
          <c:max val="2100"/>
          <c:min val="1950"/>
        </c:scaling>
        <c:delete val="1"/>
        <c:axPos val="b"/>
        <c:numFmt formatCode="General" sourceLinked="1"/>
        <c:majorTickMark val="none"/>
        <c:minorTickMark val="none"/>
        <c:tickLblPos val="nextTo"/>
        <c:crossAx val="408150704"/>
        <c:crosses val="autoZero"/>
        <c:crossBetween val="midCat"/>
      </c:valAx>
      <c:valAx>
        <c:axId val="408150704"/>
        <c:scaling>
          <c:orientation val="minMax"/>
          <c:max val="10000"/>
          <c:min val="0"/>
        </c:scaling>
        <c:delete val="1"/>
        <c:axPos val="l"/>
        <c:numFmt formatCode="0" sourceLinked="1"/>
        <c:majorTickMark val="out"/>
        <c:minorTickMark val="none"/>
        <c:tickLblPos val="nextTo"/>
        <c:crossAx val="408153056"/>
        <c:crosses val="autoZero"/>
        <c:crossBetween val="midCat"/>
      </c:valAx>
      <c:spPr>
        <a:noFill/>
        <a:ln>
          <a:noFill/>
        </a:ln>
        <a:effectLst/>
      </c:spPr>
    </c:plotArea>
    <c:legend>
      <c:legendPos val="r"/>
      <c:legendEntry>
        <c:idx val="0"/>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Entry>
      <c:layout>
        <c:manualLayout>
          <c:xMode val="edge"/>
          <c:yMode val="edge"/>
          <c:x val="0.67213407426772398"/>
          <c:y val="0.89817535883328392"/>
          <c:w val="0.32221551895572048"/>
          <c:h val="9.004033251970272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59819835859068"/>
          <c:y val="0.13467592592592595"/>
          <c:w val="0.80070448416153905"/>
          <c:h val="0.72088764946048411"/>
        </c:manualLayout>
      </c:layout>
      <c:scatterChart>
        <c:scatterStyle val="smoothMarker"/>
        <c:varyColors val="0"/>
        <c:ser>
          <c:idx val="0"/>
          <c:order val="0"/>
          <c:tx>
            <c:strRef>
              <c:f>data!$H$1:$H$4</c:f>
              <c:strCache>
                <c:ptCount val="4"/>
                <c:pt idx="0">
                  <c:v>world population</c:v>
                </c:pt>
                <c:pt idx="1">
                  <c:v>estimate</c:v>
                </c:pt>
                <c:pt idx="2">
                  <c:v>cap</c:v>
                </c:pt>
                <c:pt idx="3">
                  <c:v>adjust units</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data!$H$5:$H$156</c:f>
              <c:numCache>
                <c:formatCode>0</c:formatCode>
                <c:ptCount val="152"/>
                <c:pt idx="1">
                  <c:v>2536431018</c:v>
                </c:pt>
                <c:pt idx="2">
                  <c:v>2584034227</c:v>
                </c:pt>
                <c:pt idx="3">
                  <c:v>2630861690</c:v>
                </c:pt>
                <c:pt idx="4">
                  <c:v>2677609061</c:v>
                </c:pt>
                <c:pt idx="5">
                  <c:v>2724846754</c:v>
                </c:pt>
                <c:pt idx="6">
                  <c:v>2773019915</c:v>
                </c:pt>
                <c:pt idx="7">
                  <c:v>2822443254</c:v>
                </c:pt>
                <c:pt idx="8">
                  <c:v>2873306058</c:v>
                </c:pt>
                <c:pt idx="9">
                  <c:v>2925686680</c:v>
                </c:pt>
                <c:pt idx="10">
                  <c:v>2979576147</c:v>
                </c:pt>
                <c:pt idx="11">
                  <c:v>3034949715</c:v>
                </c:pt>
                <c:pt idx="12">
                  <c:v>3091843513</c:v>
                </c:pt>
                <c:pt idx="13">
                  <c:v>3150420761</c:v>
                </c:pt>
                <c:pt idx="14">
                  <c:v>3211000946</c:v>
                </c:pt>
                <c:pt idx="15">
                  <c:v>3273978272</c:v>
                </c:pt>
                <c:pt idx="16">
                  <c:v>3339583510</c:v>
                </c:pt>
                <c:pt idx="17">
                  <c:v>3407922631</c:v>
                </c:pt>
                <c:pt idx="18">
                  <c:v>3478770104</c:v>
                </c:pt>
                <c:pt idx="19">
                  <c:v>3551599436</c:v>
                </c:pt>
                <c:pt idx="20">
                  <c:v>3625680965</c:v>
                </c:pt>
                <c:pt idx="21">
                  <c:v>3700437042</c:v>
                </c:pt>
                <c:pt idx="22">
                  <c:v>3775760030</c:v>
                </c:pt>
                <c:pt idx="23">
                  <c:v>3851650588</c:v>
                </c:pt>
                <c:pt idx="24">
                  <c:v>3927780519</c:v>
                </c:pt>
                <c:pt idx="25">
                  <c:v>4003794178</c:v>
                </c:pt>
                <c:pt idx="26">
                  <c:v>4079480474</c:v>
                </c:pt>
                <c:pt idx="27">
                  <c:v>4154666827</c:v>
                </c:pt>
                <c:pt idx="28">
                  <c:v>4229505919</c:v>
                </c:pt>
                <c:pt idx="29">
                  <c:v>4304533599</c:v>
                </c:pt>
                <c:pt idx="30">
                  <c:v>4380506185</c:v>
                </c:pt>
                <c:pt idx="31">
                  <c:v>4458003466</c:v>
                </c:pt>
                <c:pt idx="32">
                  <c:v>4536996619</c:v>
                </c:pt>
                <c:pt idx="33">
                  <c:v>4617386526</c:v>
                </c:pt>
                <c:pt idx="34">
                  <c:v>4699569187</c:v>
                </c:pt>
                <c:pt idx="35">
                  <c:v>4784011517</c:v>
                </c:pt>
                <c:pt idx="36">
                  <c:v>4870921666</c:v>
                </c:pt>
                <c:pt idx="37">
                  <c:v>4960568000</c:v>
                </c:pt>
                <c:pt idx="38">
                  <c:v>5052521998</c:v>
                </c:pt>
                <c:pt idx="39">
                  <c:v>5145425994</c:v>
                </c:pt>
                <c:pt idx="40">
                  <c:v>5237441434</c:v>
                </c:pt>
                <c:pt idx="41">
                  <c:v>5327231041.0000105</c:v>
                </c:pt>
                <c:pt idx="42">
                  <c:v>5414289383</c:v>
                </c:pt>
                <c:pt idx="43">
                  <c:v>5498919893</c:v>
                </c:pt>
                <c:pt idx="44">
                  <c:v>5581597598</c:v>
                </c:pt>
                <c:pt idx="45">
                  <c:v>5663150428</c:v>
                </c:pt>
                <c:pt idx="46">
                  <c:v>5744212930</c:v>
                </c:pt>
                <c:pt idx="47">
                  <c:v>5824891931.0000105</c:v>
                </c:pt>
                <c:pt idx="48">
                  <c:v>5905045647</c:v>
                </c:pt>
                <c:pt idx="49">
                  <c:v>5984794075</c:v>
                </c:pt>
                <c:pt idx="50">
                  <c:v>6064239033.0000105</c:v>
                </c:pt>
                <c:pt idx="51">
                  <c:v>6143493806</c:v>
                </c:pt>
                <c:pt idx="52">
                  <c:v>6222626531</c:v>
                </c:pt>
                <c:pt idx="53">
                  <c:v>6301773171.9999905</c:v>
                </c:pt>
                <c:pt idx="54">
                  <c:v>6381185141</c:v>
                </c:pt>
                <c:pt idx="55">
                  <c:v>6461159391</c:v>
                </c:pt>
                <c:pt idx="56">
                  <c:v>6541906956</c:v>
                </c:pt>
                <c:pt idx="57">
                  <c:v>6623517917</c:v>
                </c:pt>
                <c:pt idx="58">
                  <c:v>6705946643</c:v>
                </c:pt>
                <c:pt idx="59">
                  <c:v>6789088672</c:v>
                </c:pt>
                <c:pt idx="60">
                  <c:v>6872766988</c:v>
                </c:pt>
                <c:pt idx="61">
                  <c:v>6956823588</c:v>
                </c:pt>
                <c:pt idx="62">
                  <c:v>7041194167.9999905</c:v>
                </c:pt>
                <c:pt idx="63">
                  <c:v>7125827957</c:v>
                </c:pt>
                <c:pt idx="64">
                  <c:v>7210582041</c:v>
                </c:pt>
                <c:pt idx="65">
                  <c:v>7295290759</c:v>
                </c:pt>
                <c:pt idx="66">
                  <c:v>7379796967</c:v>
                </c:pt>
                <c:pt idx="67">
                  <c:v>7464021934</c:v>
                </c:pt>
                <c:pt idx="68">
                  <c:v>7547858900</c:v>
                </c:pt>
                <c:pt idx="69">
                  <c:v>7631091113</c:v>
                </c:pt>
                <c:pt idx="70">
                  <c:v>7713468205.0000105</c:v>
                </c:pt>
                <c:pt idx="71">
                  <c:v>7794798729</c:v>
                </c:pt>
              </c:numCache>
            </c:numRef>
          </c:yVal>
          <c:smooth val="1"/>
          <c:extLst>
            <c:ext xmlns:c16="http://schemas.microsoft.com/office/drawing/2014/chart" uri="{C3380CC4-5D6E-409C-BE32-E72D297353CC}">
              <c16:uniqueId val="{00000000-FD01-472A-BFCA-1C2C69477DF9}"/>
            </c:ext>
          </c:extLst>
        </c:ser>
        <c:ser>
          <c:idx val="1"/>
          <c:order val="1"/>
          <c:tx>
            <c:strRef>
              <c:f>data!$I$1:$I$4</c:f>
              <c:strCache>
                <c:ptCount val="4"/>
                <c:pt idx="0">
                  <c:v>world population</c:v>
                </c:pt>
                <c:pt idx="1">
                  <c:v>low variant</c:v>
                </c:pt>
                <c:pt idx="2">
                  <c:v>cap</c:v>
                </c:pt>
                <c:pt idx="3">
                  <c:v>adjust units</c:v>
                </c:pt>
              </c:strCache>
            </c:strRef>
          </c:tx>
          <c:spPr>
            <a:ln w="19050" cap="rnd">
              <a:solidFill>
                <a:srgbClr val="0070C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data!$I$5:$I$156</c:f>
              <c:numCache>
                <c:formatCode>0</c:formatCode>
                <c:ptCount val="152"/>
                <c:pt idx="71">
                  <c:v>7794798729</c:v>
                </c:pt>
                <c:pt idx="72">
                  <c:v>7865623935</c:v>
                </c:pt>
                <c:pt idx="73">
                  <c:v>7932536350</c:v>
                </c:pt>
                <c:pt idx="74">
                  <c:v>7995991199.9999895</c:v>
                </c:pt>
                <c:pt idx="75">
                  <c:v>8056356309</c:v>
                </c:pt>
                <c:pt idx="76">
                  <c:v>8113912160</c:v>
                </c:pt>
                <c:pt idx="77">
                  <c:v>8168847629</c:v>
                </c:pt>
                <c:pt idx="78">
                  <c:v>8221263549</c:v>
                </c:pt>
                <c:pt idx="79">
                  <c:v>8271186568</c:v>
                </c:pt>
                <c:pt idx="80">
                  <c:v>8318588917</c:v>
                </c:pt>
                <c:pt idx="81">
                  <c:v>8363452531</c:v>
                </c:pt>
                <c:pt idx="82">
                  <c:v>8405835434</c:v>
                </c:pt>
                <c:pt idx="83">
                  <c:v>8445931922</c:v>
                </c:pt>
                <c:pt idx="84">
                  <c:v>8484096028.000001</c:v>
                </c:pt>
                <c:pt idx="85">
                  <c:v>8520771629.0000095</c:v>
                </c:pt>
                <c:pt idx="86">
                  <c:v>8556281333.000001</c:v>
                </c:pt>
                <c:pt idx="87">
                  <c:v>8590768246</c:v>
                </c:pt>
                <c:pt idx="88">
                  <c:v>8624178311</c:v>
                </c:pt>
                <c:pt idx="89">
                  <c:v>8656382198</c:v>
                </c:pt>
                <c:pt idx="90">
                  <c:v>8687153623</c:v>
                </c:pt>
                <c:pt idx="91">
                  <c:v>8716309550</c:v>
                </c:pt>
                <c:pt idx="92">
                  <c:v>8743819865</c:v>
                </c:pt>
                <c:pt idx="93">
                  <c:v>8769695365.9999886</c:v>
                </c:pt>
                <c:pt idx="94">
                  <c:v>8793831823.0000095</c:v>
                </c:pt>
                <c:pt idx="95">
                  <c:v>8816109396.0000114</c:v>
                </c:pt>
                <c:pt idx="96">
                  <c:v>8836426116</c:v>
                </c:pt>
                <c:pt idx="97">
                  <c:v>8854729367</c:v>
                </c:pt>
                <c:pt idx="98">
                  <c:v>8870980610</c:v>
                </c:pt>
                <c:pt idx="99">
                  <c:v>8885115182</c:v>
                </c:pt>
                <c:pt idx="100">
                  <c:v>8897069562</c:v>
                </c:pt>
                <c:pt idx="101">
                  <c:v>8906797099</c:v>
                </c:pt>
                <c:pt idx="102">
                  <c:v>8914275922.9999886</c:v>
                </c:pt>
                <c:pt idx="103">
                  <c:v>8919503200</c:v>
                </c:pt>
                <c:pt idx="104">
                  <c:v>8922481953</c:v>
                </c:pt>
                <c:pt idx="105">
                  <c:v>8923228107</c:v>
                </c:pt>
                <c:pt idx="106">
                  <c:v>8921766400</c:v>
                </c:pt>
                <c:pt idx="107">
                  <c:v>8918111066</c:v>
                </c:pt>
                <c:pt idx="108">
                  <c:v>8912300360</c:v>
                </c:pt>
                <c:pt idx="109">
                  <c:v>8904420834</c:v>
                </c:pt>
                <c:pt idx="110">
                  <c:v>8894581880.9999905</c:v>
                </c:pt>
                <c:pt idx="111">
                  <c:v>8882879799</c:v>
                </c:pt>
                <c:pt idx="112">
                  <c:v>8869366878.9999886</c:v>
                </c:pt>
                <c:pt idx="113">
                  <c:v>8854084402</c:v>
                </c:pt>
                <c:pt idx="114">
                  <c:v>8837105291</c:v>
                </c:pt>
                <c:pt idx="115">
                  <c:v>8818505962</c:v>
                </c:pt>
                <c:pt idx="116">
                  <c:v>8798353190.0000114</c:v>
                </c:pt>
                <c:pt idx="117">
                  <c:v>8776697842</c:v>
                </c:pt>
                <c:pt idx="118">
                  <c:v>8753578547.9999886</c:v>
                </c:pt>
                <c:pt idx="119">
                  <c:v>8729031520</c:v>
                </c:pt>
                <c:pt idx="120">
                  <c:v>8703086311.9999905</c:v>
                </c:pt>
                <c:pt idx="121">
                  <c:v>8675770145</c:v>
                </c:pt>
                <c:pt idx="122">
                  <c:v>8647116507</c:v>
                </c:pt>
                <c:pt idx="123">
                  <c:v>8617152734</c:v>
                </c:pt>
                <c:pt idx="124">
                  <c:v>8585888227</c:v>
                </c:pt>
                <c:pt idx="125">
                  <c:v>8553324507.999999</c:v>
                </c:pt>
                <c:pt idx="126">
                  <c:v>8519467311.000001</c:v>
                </c:pt>
                <c:pt idx="127">
                  <c:v>8484339903.000001</c:v>
                </c:pt>
                <c:pt idx="128">
                  <c:v>8447965416.999999</c:v>
                </c:pt>
                <c:pt idx="129">
                  <c:v>8410348278.000001</c:v>
                </c:pt>
                <c:pt idx="130">
                  <c:v>8371489339.9999895</c:v>
                </c:pt>
                <c:pt idx="131">
                  <c:v>8331396788</c:v>
                </c:pt>
                <c:pt idx="132">
                  <c:v>8290088158</c:v>
                </c:pt>
                <c:pt idx="133">
                  <c:v>8247595088</c:v>
                </c:pt>
                <c:pt idx="134">
                  <c:v>8203957958.0000095</c:v>
                </c:pt>
                <c:pt idx="135">
                  <c:v>8159225283</c:v>
                </c:pt>
                <c:pt idx="136">
                  <c:v>8113441407</c:v>
                </c:pt>
                <c:pt idx="137">
                  <c:v>8066637826</c:v>
                </c:pt>
                <c:pt idx="138">
                  <c:v>8018841518</c:v>
                </c:pt>
                <c:pt idx="139">
                  <c:v>7970086741.0000095</c:v>
                </c:pt>
                <c:pt idx="140">
                  <c:v>7920408477</c:v>
                </c:pt>
                <c:pt idx="141">
                  <c:v>7869840228</c:v>
                </c:pt>
                <c:pt idx="142">
                  <c:v>7818414827.0000095</c:v>
                </c:pt>
                <c:pt idx="143">
                  <c:v>7766163658</c:v>
                </c:pt>
                <c:pt idx="144">
                  <c:v>7713118271</c:v>
                </c:pt>
                <c:pt idx="145">
                  <c:v>7659308582</c:v>
                </c:pt>
                <c:pt idx="146">
                  <c:v>7604765476</c:v>
                </c:pt>
                <c:pt idx="147">
                  <c:v>7549519239</c:v>
                </c:pt>
                <c:pt idx="148">
                  <c:v>7493600581.0000095</c:v>
                </c:pt>
                <c:pt idx="149">
                  <c:v>7437040202.9999905</c:v>
                </c:pt>
                <c:pt idx="150">
                  <c:v>7379868607</c:v>
                </c:pt>
                <c:pt idx="151">
                  <c:v>7322116481</c:v>
                </c:pt>
              </c:numCache>
            </c:numRef>
          </c:yVal>
          <c:smooth val="1"/>
          <c:extLst>
            <c:ext xmlns:c16="http://schemas.microsoft.com/office/drawing/2014/chart" uri="{C3380CC4-5D6E-409C-BE32-E72D297353CC}">
              <c16:uniqueId val="{00000001-FD01-472A-BFCA-1C2C69477DF9}"/>
            </c:ext>
          </c:extLst>
        </c:ser>
        <c:ser>
          <c:idx val="2"/>
          <c:order val="2"/>
          <c:tx>
            <c:strRef>
              <c:f>data!$J$1:$J$4</c:f>
              <c:strCache>
                <c:ptCount val="4"/>
                <c:pt idx="0">
                  <c:v>world population</c:v>
                </c:pt>
                <c:pt idx="1">
                  <c:v>medium variant</c:v>
                </c:pt>
                <c:pt idx="2">
                  <c:v>cap</c:v>
                </c:pt>
                <c:pt idx="3">
                  <c:v>adjust units</c:v>
                </c:pt>
              </c:strCache>
            </c:strRef>
          </c:tx>
          <c:spPr>
            <a:ln w="19050" cap="rnd">
              <a:solidFill>
                <a:srgbClr val="00B05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data!$J$5:$J$156</c:f>
              <c:numCache>
                <c:formatCode>0</c:formatCode>
                <c:ptCount val="152"/>
                <c:pt idx="71">
                  <c:v>7794798729</c:v>
                </c:pt>
                <c:pt idx="72">
                  <c:v>7874965731.9999895</c:v>
                </c:pt>
                <c:pt idx="73">
                  <c:v>7953952577</c:v>
                </c:pt>
                <c:pt idx="74">
                  <c:v>8031800338</c:v>
                </c:pt>
                <c:pt idx="75">
                  <c:v>8108605255</c:v>
                </c:pt>
                <c:pt idx="76">
                  <c:v>8184437453</c:v>
                </c:pt>
                <c:pt idx="77">
                  <c:v>8259276650.9999905</c:v>
                </c:pt>
                <c:pt idx="78">
                  <c:v>8333078318</c:v>
                </c:pt>
                <c:pt idx="79">
                  <c:v>8405863301.000001</c:v>
                </c:pt>
                <c:pt idx="80">
                  <c:v>8477660723.0000105</c:v>
                </c:pt>
                <c:pt idx="81">
                  <c:v>8548487370.999999</c:v>
                </c:pt>
                <c:pt idx="82">
                  <c:v>8618349453.9999905</c:v>
                </c:pt>
                <c:pt idx="83">
                  <c:v>8687227873</c:v>
                </c:pt>
                <c:pt idx="84">
                  <c:v>8755083512</c:v>
                </c:pt>
                <c:pt idx="85">
                  <c:v>8821862705</c:v>
                </c:pt>
                <c:pt idx="86">
                  <c:v>8887524229</c:v>
                </c:pt>
                <c:pt idx="87">
                  <c:v>8952048885.0000095</c:v>
                </c:pt>
                <c:pt idx="88">
                  <c:v>9015437616</c:v>
                </c:pt>
                <c:pt idx="89">
                  <c:v>9077693645.0000114</c:v>
                </c:pt>
                <c:pt idx="90">
                  <c:v>9138828562.0000095</c:v>
                </c:pt>
                <c:pt idx="91">
                  <c:v>9198847382</c:v>
                </c:pt>
                <c:pt idx="92">
                  <c:v>9257745483</c:v>
                </c:pt>
                <c:pt idx="93">
                  <c:v>9315508153</c:v>
                </c:pt>
                <c:pt idx="94">
                  <c:v>9372118247.0000114</c:v>
                </c:pt>
                <c:pt idx="95">
                  <c:v>9427555382</c:v>
                </c:pt>
                <c:pt idx="96">
                  <c:v>9481803272</c:v>
                </c:pt>
                <c:pt idx="97">
                  <c:v>9534854673</c:v>
                </c:pt>
                <c:pt idx="98">
                  <c:v>9586707749</c:v>
                </c:pt>
                <c:pt idx="99">
                  <c:v>9637357320</c:v>
                </c:pt>
                <c:pt idx="100">
                  <c:v>9686800146</c:v>
                </c:pt>
                <c:pt idx="101">
                  <c:v>9735033900</c:v>
                </c:pt>
                <c:pt idx="102">
                  <c:v>9782061758</c:v>
                </c:pt>
                <c:pt idx="103">
                  <c:v>9827885441</c:v>
                </c:pt>
                <c:pt idx="104">
                  <c:v>9872501562</c:v>
                </c:pt>
                <c:pt idx="105">
                  <c:v>9915905251.0000095</c:v>
                </c:pt>
                <c:pt idx="106">
                  <c:v>9958098746</c:v>
                </c:pt>
                <c:pt idx="107">
                  <c:v>9999085167</c:v>
                </c:pt>
                <c:pt idx="108">
                  <c:v>10038881262</c:v>
                </c:pt>
                <c:pt idx="109">
                  <c:v>10077518080</c:v>
                </c:pt>
                <c:pt idx="110">
                  <c:v>10115036360</c:v>
                </c:pt>
                <c:pt idx="111">
                  <c:v>10151469683</c:v>
                </c:pt>
                <c:pt idx="112">
                  <c:v>10186837209</c:v>
                </c:pt>
                <c:pt idx="113">
                  <c:v>10221149040</c:v>
                </c:pt>
                <c:pt idx="114">
                  <c:v>10254419004</c:v>
                </c:pt>
                <c:pt idx="115">
                  <c:v>10286658354</c:v>
                </c:pt>
                <c:pt idx="116">
                  <c:v>10317879315</c:v>
                </c:pt>
                <c:pt idx="117">
                  <c:v>10348098079</c:v>
                </c:pt>
                <c:pt idx="118">
                  <c:v>10377330830</c:v>
                </c:pt>
                <c:pt idx="119">
                  <c:v>10405590532</c:v>
                </c:pt>
                <c:pt idx="120">
                  <c:v>10432889136</c:v>
                </c:pt>
                <c:pt idx="121">
                  <c:v>10459239501</c:v>
                </c:pt>
                <c:pt idx="122">
                  <c:v>10484654858</c:v>
                </c:pt>
                <c:pt idx="123">
                  <c:v>10509150402</c:v>
                </c:pt>
                <c:pt idx="124">
                  <c:v>10532742861</c:v>
                </c:pt>
                <c:pt idx="125">
                  <c:v>10555450003</c:v>
                </c:pt>
                <c:pt idx="126">
                  <c:v>10577288195</c:v>
                </c:pt>
                <c:pt idx="127">
                  <c:v>10598274172</c:v>
                </c:pt>
                <c:pt idx="128">
                  <c:v>10618420909</c:v>
                </c:pt>
                <c:pt idx="129">
                  <c:v>10637736819</c:v>
                </c:pt>
                <c:pt idx="130">
                  <c:v>10656228233</c:v>
                </c:pt>
                <c:pt idx="131">
                  <c:v>10673904454</c:v>
                </c:pt>
                <c:pt idx="132">
                  <c:v>10690773335</c:v>
                </c:pt>
                <c:pt idx="133">
                  <c:v>10706852426</c:v>
                </c:pt>
                <c:pt idx="134">
                  <c:v>10722171375</c:v>
                </c:pt>
                <c:pt idx="135">
                  <c:v>10736765444</c:v>
                </c:pt>
                <c:pt idx="136">
                  <c:v>10750662353</c:v>
                </c:pt>
                <c:pt idx="137">
                  <c:v>10763874023</c:v>
                </c:pt>
                <c:pt idx="138">
                  <c:v>10776402019</c:v>
                </c:pt>
                <c:pt idx="139">
                  <c:v>10788248948</c:v>
                </c:pt>
                <c:pt idx="140">
                  <c:v>10799413366</c:v>
                </c:pt>
                <c:pt idx="141">
                  <c:v>10809892303</c:v>
                </c:pt>
                <c:pt idx="142">
                  <c:v>10819682643</c:v>
                </c:pt>
                <c:pt idx="143">
                  <c:v>10828780959</c:v>
                </c:pt>
                <c:pt idx="144">
                  <c:v>10837182077</c:v>
                </c:pt>
                <c:pt idx="145">
                  <c:v>10844878798</c:v>
                </c:pt>
                <c:pt idx="146">
                  <c:v>10851860145</c:v>
                </c:pt>
                <c:pt idx="147">
                  <c:v>10858111587</c:v>
                </c:pt>
                <c:pt idx="148">
                  <c:v>10863614776</c:v>
                </c:pt>
                <c:pt idx="149">
                  <c:v>10868347636</c:v>
                </c:pt>
                <c:pt idx="150">
                  <c:v>10872284134</c:v>
                </c:pt>
                <c:pt idx="151">
                  <c:v>10875393719</c:v>
                </c:pt>
              </c:numCache>
            </c:numRef>
          </c:yVal>
          <c:smooth val="1"/>
          <c:extLst>
            <c:ext xmlns:c16="http://schemas.microsoft.com/office/drawing/2014/chart" uri="{C3380CC4-5D6E-409C-BE32-E72D297353CC}">
              <c16:uniqueId val="{00000002-FD01-472A-BFCA-1C2C69477DF9}"/>
            </c:ext>
          </c:extLst>
        </c:ser>
        <c:ser>
          <c:idx val="3"/>
          <c:order val="3"/>
          <c:tx>
            <c:strRef>
              <c:f>data!$K$1:$K$4</c:f>
              <c:strCache>
                <c:ptCount val="4"/>
                <c:pt idx="0">
                  <c:v>world population</c:v>
                </c:pt>
                <c:pt idx="1">
                  <c:v>high variant</c:v>
                </c:pt>
                <c:pt idx="2">
                  <c:v>cap</c:v>
                </c:pt>
                <c:pt idx="3">
                  <c:v>adjust units</c:v>
                </c:pt>
              </c:strCache>
            </c:strRef>
          </c:tx>
          <c:spPr>
            <a:ln w="19050" cap="rnd">
              <a:solidFill>
                <a:srgbClr val="0070C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data!$K$5:$K$156</c:f>
              <c:numCache>
                <c:formatCode>0</c:formatCode>
                <c:ptCount val="152"/>
                <c:pt idx="71">
                  <c:v>7794798729</c:v>
                </c:pt>
                <c:pt idx="72">
                  <c:v>7883801792</c:v>
                </c:pt>
                <c:pt idx="73">
                  <c:v>7974797218</c:v>
                </c:pt>
                <c:pt idx="74">
                  <c:v>8067252206</c:v>
                </c:pt>
                <c:pt idx="75">
                  <c:v>8160744583</c:v>
                </c:pt>
                <c:pt idx="76">
                  <c:v>8254962614</c:v>
                </c:pt>
                <c:pt idx="77">
                  <c:v>8349711746</c:v>
                </c:pt>
                <c:pt idx="78">
                  <c:v>8444906926.999999</c:v>
                </c:pt>
                <c:pt idx="79">
                  <c:v>8540558679.0000105</c:v>
                </c:pt>
                <c:pt idx="80">
                  <c:v>8636743528</c:v>
                </c:pt>
                <c:pt idx="81">
                  <c:v>8733522269.0000114</c:v>
                </c:pt>
                <c:pt idx="82">
                  <c:v>8830852633</c:v>
                </c:pt>
                <c:pt idx="83">
                  <c:v>8928511526</c:v>
                </c:pt>
                <c:pt idx="84">
                  <c:v>9026062341</c:v>
                </c:pt>
                <c:pt idx="85">
                  <c:v>9122948057.0000095</c:v>
                </c:pt>
                <c:pt idx="86">
                  <c:v>9218767063</c:v>
                </c:pt>
                <c:pt idx="87">
                  <c:v>9313353996</c:v>
                </c:pt>
                <c:pt idx="88">
                  <c:v>9406793301.9999905</c:v>
                </c:pt>
                <c:pt idx="89">
                  <c:v>9499252956</c:v>
                </c:pt>
                <c:pt idx="90">
                  <c:v>9591020900</c:v>
                </c:pt>
                <c:pt idx="91">
                  <c:v>9682331792.0000114</c:v>
                </c:pt>
                <c:pt idx="92">
                  <c:v>9773235656</c:v>
                </c:pt>
                <c:pt idx="93">
                  <c:v>9863730958</c:v>
                </c:pt>
                <c:pt idx="94">
                  <c:v>9953952210</c:v>
                </c:pt>
                <c:pt idx="95">
                  <c:v>10044052111</c:v>
                </c:pt>
                <c:pt idx="96">
                  <c:v>10134164418</c:v>
                </c:pt>
                <c:pt idx="97">
                  <c:v>10224365073</c:v>
                </c:pt>
                <c:pt idx="98">
                  <c:v>10314720045</c:v>
                </c:pt>
                <c:pt idx="99">
                  <c:v>10405336750</c:v>
                </c:pt>
                <c:pt idx="100">
                  <c:v>10496326079</c:v>
                </c:pt>
                <c:pt idx="101">
                  <c:v>10587773914</c:v>
                </c:pt>
                <c:pt idx="102">
                  <c:v>10679735296</c:v>
                </c:pt>
                <c:pt idx="103">
                  <c:v>10772228298</c:v>
                </c:pt>
                <c:pt idx="104">
                  <c:v>10865250174</c:v>
                </c:pt>
                <c:pt idx="105">
                  <c:v>10958774339</c:v>
                </c:pt>
                <c:pt idx="106">
                  <c:v>11052774676</c:v>
                </c:pt>
                <c:pt idx="107">
                  <c:v>11147251075</c:v>
                </c:pt>
                <c:pt idx="108">
                  <c:v>11242194679</c:v>
                </c:pt>
                <c:pt idx="109">
                  <c:v>11337550420</c:v>
                </c:pt>
                <c:pt idx="110">
                  <c:v>11433247289</c:v>
                </c:pt>
                <c:pt idx="111">
                  <c:v>11529222442</c:v>
                </c:pt>
                <c:pt idx="112">
                  <c:v>11625455545</c:v>
                </c:pt>
                <c:pt idx="113">
                  <c:v>11721923103</c:v>
                </c:pt>
                <c:pt idx="114">
                  <c:v>11818555787</c:v>
                </c:pt>
                <c:pt idx="115">
                  <c:v>11915273010</c:v>
                </c:pt>
                <c:pt idx="116">
                  <c:v>12012015418</c:v>
                </c:pt>
                <c:pt idx="117">
                  <c:v>12108763781</c:v>
                </c:pt>
                <c:pt idx="118">
                  <c:v>12205524599</c:v>
                </c:pt>
                <c:pt idx="119">
                  <c:v>12302302934</c:v>
                </c:pt>
                <c:pt idx="120">
                  <c:v>12399115604</c:v>
                </c:pt>
                <c:pt idx="121">
                  <c:v>12495986834</c:v>
                </c:pt>
                <c:pt idx="122">
                  <c:v>12592925814</c:v>
                </c:pt>
                <c:pt idx="123">
                  <c:v>12689962459</c:v>
                </c:pt>
                <c:pt idx="124">
                  <c:v>12787168962</c:v>
                </c:pt>
                <c:pt idx="125">
                  <c:v>12884637328</c:v>
                </c:pt>
                <c:pt idx="126">
                  <c:v>12982447172</c:v>
                </c:pt>
                <c:pt idx="127">
                  <c:v>13080637698</c:v>
                </c:pt>
                <c:pt idx="128">
                  <c:v>13179238963</c:v>
                </c:pt>
                <c:pt idx="129">
                  <c:v>13278307781</c:v>
                </c:pt>
                <c:pt idx="130">
                  <c:v>13377904428</c:v>
                </c:pt>
                <c:pt idx="131">
                  <c:v>13478079013</c:v>
                </c:pt>
                <c:pt idx="132">
                  <c:v>13578855479</c:v>
                </c:pt>
                <c:pt idx="133">
                  <c:v>13680253502</c:v>
                </c:pt>
                <c:pt idx="134">
                  <c:v>13782308789</c:v>
                </c:pt>
                <c:pt idx="135">
                  <c:v>13885055549</c:v>
                </c:pt>
                <c:pt idx="136">
                  <c:v>13988513727</c:v>
                </c:pt>
                <c:pt idx="137">
                  <c:v>14092686346</c:v>
                </c:pt>
                <c:pt idx="138">
                  <c:v>14197552888</c:v>
                </c:pt>
                <c:pt idx="139">
                  <c:v>14303073145</c:v>
                </c:pt>
                <c:pt idx="140">
                  <c:v>14409190991</c:v>
                </c:pt>
                <c:pt idx="141">
                  <c:v>14515851231</c:v>
                </c:pt>
                <c:pt idx="142">
                  <c:v>14623005072</c:v>
                </c:pt>
                <c:pt idx="143">
                  <c:v>14730608882</c:v>
                </c:pt>
                <c:pt idx="144">
                  <c:v>14838618745</c:v>
                </c:pt>
                <c:pt idx="145">
                  <c:v>14946984755</c:v>
                </c:pt>
                <c:pt idx="146">
                  <c:v>15055647057</c:v>
                </c:pt>
                <c:pt idx="147">
                  <c:v>15164532384</c:v>
                </c:pt>
                <c:pt idx="148">
                  <c:v>15273554464</c:v>
                </c:pt>
                <c:pt idx="149">
                  <c:v>15382612955</c:v>
                </c:pt>
                <c:pt idx="150">
                  <c:v>15491593518</c:v>
                </c:pt>
                <c:pt idx="151">
                  <c:v>15600368927</c:v>
                </c:pt>
              </c:numCache>
            </c:numRef>
          </c:yVal>
          <c:smooth val="1"/>
          <c:extLst>
            <c:ext xmlns:c16="http://schemas.microsoft.com/office/drawing/2014/chart" uri="{C3380CC4-5D6E-409C-BE32-E72D297353CC}">
              <c16:uniqueId val="{00000003-FD01-472A-BFCA-1C2C69477DF9}"/>
            </c:ext>
          </c:extLst>
        </c:ser>
        <c:ser>
          <c:idx val="4"/>
          <c:order val="4"/>
          <c:tx>
            <c:strRef>
              <c:f>texts!$A$23</c:f>
              <c:strCache>
                <c:ptCount val="1"/>
                <c:pt idx="0">
                  <c:v>population chosen</c:v>
                </c:pt>
              </c:strCache>
            </c:strRef>
          </c:tx>
          <c:spPr>
            <a:ln w="19050" cap="rnd">
              <a:solidFill>
                <a:srgbClr val="FF000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data!$L$5:$L$156</c:f>
              <c:numCache>
                <c:formatCode>0</c:formatCode>
                <c:ptCount val="152"/>
                <c:pt idx="1">
                  <c:v>2536431018</c:v>
                </c:pt>
                <c:pt idx="2">
                  <c:v>2584034227</c:v>
                </c:pt>
                <c:pt idx="3">
                  <c:v>2630861690</c:v>
                </c:pt>
                <c:pt idx="4">
                  <c:v>2677609061</c:v>
                </c:pt>
                <c:pt idx="5">
                  <c:v>2724846754</c:v>
                </c:pt>
                <c:pt idx="6">
                  <c:v>2773019915</c:v>
                </c:pt>
                <c:pt idx="7">
                  <c:v>2822443254</c:v>
                </c:pt>
                <c:pt idx="8">
                  <c:v>2873306058</c:v>
                </c:pt>
                <c:pt idx="9">
                  <c:v>2925686680</c:v>
                </c:pt>
                <c:pt idx="10">
                  <c:v>2979576147</c:v>
                </c:pt>
                <c:pt idx="11">
                  <c:v>3034949715</c:v>
                </c:pt>
                <c:pt idx="12">
                  <c:v>3091843513</c:v>
                </c:pt>
                <c:pt idx="13">
                  <c:v>3150420761</c:v>
                </c:pt>
                <c:pt idx="14">
                  <c:v>3211000946</c:v>
                </c:pt>
                <c:pt idx="15">
                  <c:v>3273978272</c:v>
                </c:pt>
                <c:pt idx="16">
                  <c:v>3339583510</c:v>
                </c:pt>
                <c:pt idx="17">
                  <c:v>3407922631</c:v>
                </c:pt>
                <c:pt idx="18">
                  <c:v>3478770104</c:v>
                </c:pt>
                <c:pt idx="19">
                  <c:v>3551599436</c:v>
                </c:pt>
                <c:pt idx="20">
                  <c:v>3625680965</c:v>
                </c:pt>
                <c:pt idx="21">
                  <c:v>3700437042</c:v>
                </c:pt>
                <c:pt idx="22">
                  <c:v>3775760030</c:v>
                </c:pt>
                <c:pt idx="23">
                  <c:v>3851650588</c:v>
                </c:pt>
                <c:pt idx="24">
                  <c:v>3927780519</c:v>
                </c:pt>
                <c:pt idx="25">
                  <c:v>4003794178</c:v>
                </c:pt>
                <c:pt idx="26">
                  <c:v>4079480474</c:v>
                </c:pt>
                <c:pt idx="27">
                  <c:v>4154666827</c:v>
                </c:pt>
                <c:pt idx="28">
                  <c:v>4229505919</c:v>
                </c:pt>
                <c:pt idx="29">
                  <c:v>4304533599</c:v>
                </c:pt>
                <c:pt idx="30">
                  <c:v>4380506185</c:v>
                </c:pt>
                <c:pt idx="31">
                  <c:v>4458003466</c:v>
                </c:pt>
                <c:pt idx="32">
                  <c:v>4536996619</c:v>
                </c:pt>
                <c:pt idx="33">
                  <c:v>4617386526</c:v>
                </c:pt>
                <c:pt idx="34">
                  <c:v>4699569187</c:v>
                </c:pt>
                <c:pt idx="35">
                  <c:v>4784011517</c:v>
                </c:pt>
                <c:pt idx="36">
                  <c:v>4870921666</c:v>
                </c:pt>
                <c:pt idx="37">
                  <c:v>4960568000</c:v>
                </c:pt>
                <c:pt idx="38">
                  <c:v>5052521998</c:v>
                </c:pt>
                <c:pt idx="39">
                  <c:v>5145425994</c:v>
                </c:pt>
                <c:pt idx="40">
                  <c:v>5237441434</c:v>
                </c:pt>
                <c:pt idx="41">
                  <c:v>5327231041.0000105</c:v>
                </c:pt>
                <c:pt idx="42">
                  <c:v>5414289383</c:v>
                </c:pt>
                <c:pt idx="43">
                  <c:v>5498919893</c:v>
                </c:pt>
                <c:pt idx="44">
                  <c:v>5581597598</c:v>
                </c:pt>
                <c:pt idx="45">
                  <c:v>5663150428</c:v>
                </c:pt>
                <c:pt idx="46">
                  <c:v>5744212930</c:v>
                </c:pt>
                <c:pt idx="47">
                  <c:v>5824891931.0000105</c:v>
                </c:pt>
                <c:pt idx="48">
                  <c:v>5905045647</c:v>
                </c:pt>
                <c:pt idx="49">
                  <c:v>5984794075</c:v>
                </c:pt>
                <c:pt idx="50">
                  <c:v>6064239033.0000105</c:v>
                </c:pt>
                <c:pt idx="51">
                  <c:v>6143493806</c:v>
                </c:pt>
                <c:pt idx="52">
                  <c:v>6222626531</c:v>
                </c:pt>
                <c:pt idx="53">
                  <c:v>6301773171.9999905</c:v>
                </c:pt>
                <c:pt idx="54">
                  <c:v>6381185141</c:v>
                </c:pt>
                <c:pt idx="55">
                  <c:v>6461159391</c:v>
                </c:pt>
                <c:pt idx="56">
                  <c:v>6541906956</c:v>
                </c:pt>
                <c:pt idx="57">
                  <c:v>6623517917</c:v>
                </c:pt>
                <c:pt idx="58">
                  <c:v>6705946643</c:v>
                </c:pt>
                <c:pt idx="59">
                  <c:v>6789088672</c:v>
                </c:pt>
                <c:pt idx="60">
                  <c:v>6872766988</c:v>
                </c:pt>
                <c:pt idx="61">
                  <c:v>6956823588</c:v>
                </c:pt>
                <c:pt idx="62">
                  <c:v>7041194167.9999905</c:v>
                </c:pt>
                <c:pt idx="63">
                  <c:v>7125827957</c:v>
                </c:pt>
                <c:pt idx="64">
                  <c:v>7210582041</c:v>
                </c:pt>
                <c:pt idx="65">
                  <c:v>7295290759</c:v>
                </c:pt>
                <c:pt idx="66">
                  <c:v>7379796967</c:v>
                </c:pt>
                <c:pt idx="67">
                  <c:v>7464021934</c:v>
                </c:pt>
                <c:pt idx="68">
                  <c:v>7547858900</c:v>
                </c:pt>
                <c:pt idx="69">
                  <c:v>7631091113</c:v>
                </c:pt>
                <c:pt idx="70">
                  <c:v>7713468205.0000105</c:v>
                </c:pt>
                <c:pt idx="71">
                  <c:v>7794798729</c:v>
                </c:pt>
                <c:pt idx="72">
                  <c:v>7878228530.7201471</c:v>
                </c:pt>
                <c:pt idx="73">
                  <c:v>7961649657.823</c:v>
                </c:pt>
                <c:pt idx="74">
                  <c:v>8044891275.5374861</c:v>
                </c:pt>
                <c:pt idx="75">
                  <c:v>8127858194.9605827</c:v>
                </c:pt>
                <c:pt idx="76">
                  <c:v>8210479535.6759281</c:v>
                </c:pt>
                <c:pt idx="77">
                  <c:v>8292670665.0993805</c:v>
                </c:pt>
                <c:pt idx="78">
                  <c:v>8374372089.4684849</c:v>
                </c:pt>
                <c:pt idx="79">
                  <c:v>8455600843.1793346</c:v>
                </c:pt>
                <c:pt idx="80">
                  <c:v>8536403553.2379799</c:v>
                </c:pt>
                <c:pt idx="81">
                  <c:v>8616813257.0146141</c:v>
                </c:pt>
                <c:pt idx="82">
                  <c:v>8696818262.5492687</c:v>
                </c:pt>
                <c:pt idx="83">
                  <c:v>8776324143.7589741</c:v>
                </c:pt>
                <c:pt idx="84">
                  <c:v>8855145007.3327713</c:v>
                </c:pt>
                <c:pt idx="85">
                  <c:v>8933041318.6765499</c:v>
                </c:pt>
                <c:pt idx="86">
                  <c:v>9009838778.1130066</c:v>
                </c:pt>
                <c:pt idx="87">
                  <c:v>9085464214.2028389</c:v>
                </c:pt>
                <c:pt idx="88">
                  <c:v>9159949404.2184868</c:v>
                </c:pt>
                <c:pt idx="89">
                  <c:v>9233358407.3940945</c:v>
                </c:pt>
                <c:pt idx="90">
                  <c:v>9305804859.3191681</c:v>
                </c:pt>
                <c:pt idx="91">
                  <c:v>9377378572.8432674</c:v>
                </c:pt>
                <c:pt idx="92">
                  <c:v>9448095104.5186958</c:v>
                </c:pt>
                <c:pt idx="93">
                  <c:v>9517944608.4465866</c:v>
                </c:pt>
                <c:pt idx="94">
                  <c:v>9586965940.4084568</c:v>
                </c:pt>
                <c:pt idx="95">
                  <c:v>9655202629.5696716</c:v>
                </c:pt>
                <c:pt idx="96">
                  <c:v>9722693794.7270012</c:v>
                </c:pt>
                <c:pt idx="97">
                  <c:v>9789462909.0976524</c:v>
                </c:pt>
                <c:pt idx="98">
                  <c:v>9855533174.319128</c:v>
                </c:pt>
                <c:pt idx="99">
                  <c:v>9920940987.5292797</c:v>
                </c:pt>
                <c:pt idx="100">
                  <c:v>9985725252.6792278</c:v>
                </c:pt>
                <c:pt idx="101">
                  <c:v>10049916214.776438</c:v>
                </c:pt>
                <c:pt idx="102">
                  <c:v>10113536201.462666</c:v>
                </c:pt>
                <c:pt idx="103">
                  <c:v>10176592971.868553</c:v>
                </c:pt>
                <c:pt idx="104">
                  <c:v>10239083375.689415</c:v>
                </c:pt>
                <c:pt idx="105">
                  <c:v>10300994524.456141</c:v>
                </c:pt>
                <c:pt idx="106">
                  <c:v>10362318185.816801</c:v>
                </c:pt>
                <c:pt idx="107">
                  <c:v>10423056287.063368</c:v>
                </c:pt>
                <c:pt idx="108">
                  <c:v>10483216121.30743</c:v>
                </c:pt>
                <c:pt idx="109">
                  <c:v>10542796938.032307</c:v>
                </c:pt>
                <c:pt idx="110">
                  <c:v>10601798212.232162</c:v>
                </c:pt>
                <c:pt idx="111">
                  <c:v>10660217919.063829</c:v>
                </c:pt>
                <c:pt idx="112">
                  <c:v>10718060634.994301</c:v>
                </c:pt>
                <c:pt idx="113">
                  <c:v>10775324056.013592</c:v>
                </c:pt>
                <c:pt idx="114">
                  <c:v>10831991303.613012</c:v>
                </c:pt>
                <c:pt idx="115">
                  <c:v>10888039718.004005</c:v>
                </c:pt>
                <c:pt idx="116">
                  <c:v>10943455092.963875</c:v>
                </c:pt>
                <c:pt idx="117">
                  <c:v>10998240540.584127</c:v>
                </c:pt>
                <c:pt idx="118">
                  <c:v>11052408668.956181</c:v>
                </c:pt>
                <c:pt idx="119">
                  <c:v>11105969524.191797</c:v>
                </c:pt>
                <c:pt idx="120">
                  <c:v>11158936854.476761</c:v>
                </c:pt>
                <c:pt idx="121">
                  <c:v>11211327715.814062</c:v>
                </c:pt>
                <c:pt idx="122">
                  <c:v>11263153847.026234</c:v>
                </c:pt>
                <c:pt idx="123">
                  <c:v>11314435878.612484</c:v>
                </c:pt>
                <c:pt idx="124">
                  <c:v>11365211019.548618</c:v>
                </c:pt>
                <c:pt idx="125">
                  <c:v>11415524450.548958</c:v>
                </c:pt>
                <c:pt idx="126">
                  <c:v>11465415893.535666</c:v>
                </c:pt>
                <c:pt idx="127">
                  <c:v>11514910380.399483</c:v>
                </c:pt>
                <c:pt idx="128">
                  <c:v>11564027193.830462</c:v>
                </c:pt>
                <c:pt idx="129">
                  <c:v>11612792619.355591</c:v>
                </c:pt>
                <c:pt idx="130">
                  <c:v>11661232907.676296</c:v>
                </c:pt>
                <c:pt idx="131">
                  <c:v>11709372429.793991</c:v>
                </c:pt>
                <c:pt idx="132">
                  <c:v>11757224980.093344</c:v>
                </c:pt>
                <c:pt idx="133">
                  <c:v>11804808893.619959</c:v>
                </c:pt>
                <c:pt idx="134">
                  <c:v>11852156055.716888</c:v>
                </c:pt>
                <c:pt idx="135">
                  <c:v>11899301339.553925</c:v>
                </c:pt>
                <c:pt idx="136">
                  <c:v>11946269594.13879</c:v>
                </c:pt>
                <c:pt idx="137">
                  <c:v>11993069454.800827</c:v>
                </c:pt>
                <c:pt idx="138">
                  <c:v>12039694332.183447</c:v>
                </c:pt>
                <c:pt idx="139">
                  <c:v>12086131023.442982</c:v>
                </c:pt>
                <c:pt idx="140">
                  <c:v>12132357892.733791</c:v>
                </c:pt>
                <c:pt idx="141">
                  <c:v>12178352685.480715</c:v>
                </c:pt>
                <c:pt idx="142">
                  <c:v>12224095419.019524</c:v>
                </c:pt>
                <c:pt idx="143">
                  <c:v>12269567820.273739</c:v>
                </c:pt>
                <c:pt idx="144">
                  <c:v>12314750409.393465</c:v>
                </c:pt>
                <c:pt idx="145">
                  <c:v>12359620217.415062</c:v>
                </c:pt>
                <c:pt idx="146">
                  <c:v>12404148218.67477</c:v>
                </c:pt>
                <c:pt idx="147">
                  <c:v>12448298193.349115</c:v>
                </c:pt>
                <c:pt idx="148">
                  <c:v>12492026711.858713</c:v>
                </c:pt>
                <c:pt idx="149">
                  <c:v>12535282797.742884</c:v>
                </c:pt>
                <c:pt idx="150">
                  <c:v>12578007810.175991</c:v>
                </c:pt>
                <c:pt idx="151">
                  <c:v>12620135500</c:v>
                </c:pt>
              </c:numCache>
            </c:numRef>
          </c:yVal>
          <c:smooth val="1"/>
          <c:extLst>
            <c:ext xmlns:c16="http://schemas.microsoft.com/office/drawing/2014/chart" uri="{C3380CC4-5D6E-409C-BE32-E72D297353CC}">
              <c16:uniqueId val="{00000004-FD01-472A-BFCA-1C2C69477DF9}"/>
            </c:ext>
          </c:extLst>
        </c:ser>
        <c:dLbls>
          <c:showLegendKey val="0"/>
          <c:showVal val="0"/>
          <c:showCatName val="0"/>
          <c:showSerName val="0"/>
          <c:showPercent val="0"/>
          <c:showBubbleSize val="0"/>
        </c:dLbls>
        <c:axId val="408155800"/>
        <c:axId val="408154232"/>
      </c:scatterChart>
      <c:valAx>
        <c:axId val="40815580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8154232"/>
        <c:crosses val="autoZero"/>
        <c:crossBetween val="midCat"/>
      </c:valAx>
      <c:valAx>
        <c:axId val="408154232"/>
        <c:scaling>
          <c:orientation val="minMax"/>
          <c:max val="16000000000"/>
          <c:min val="0"/>
        </c:scaling>
        <c:delete val="0"/>
        <c:axPos val="l"/>
        <c:majorGridlines>
          <c:spPr>
            <a:ln w="9525" cap="flat" cmpd="sng" algn="ctr">
              <a:solidFill>
                <a:schemeClr val="tx1">
                  <a:lumMod val="15000"/>
                  <a:lumOff val="85000"/>
                </a:schemeClr>
              </a:solidFill>
              <a:round/>
            </a:ln>
            <a:effectLst/>
          </c:spPr>
        </c:majorGridlines>
        <c:title>
          <c:tx>
            <c:strRef>
              <c:f>texts!$A$24</c:f>
              <c:strCache>
                <c:ptCount val="1"/>
                <c:pt idx="0">
                  <c:v>in billion</c:v>
                </c:pt>
              </c:strCache>
            </c:strRef>
          </c:tx>
          <c:layout>
            <c:manualLayout>
              <c:xMode val="edge"/>
              <c:yMode val="edge"/>
              <c:x val="3.3942359146854221E-4"/>
              <c:y val="8.911423502834985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8155800"/>
        <c:crosses val="autoZero"/>
        <c:crossBetween val="midCat"/>
        <c:majorUnit val="2000000000"/>
        <c:dispUnits>
          <c:builtInUnit val="billions"/>
        </c:dispUnits>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4577690097740752"/>
          <c:y val="0.70559328521434816"/>
          <c:w val="0.47832573434935477"/>
          <c:h val="0.19101155225094227"/>
        </c:manualLayout>
      </c:layout>
      <c:overlay val="1"/>
      <c:spPr>
        <a:noFill/>
        <a:ln>
          <a:noFill/>
        </a:ln>
        <a:effectLst/>
      </c:spPr>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21625421822273"/>
          <c:y val="0.14576941771167493"/>
          <c:w val="0.79831428329523324"/>
          <c:h val="0.71436760129171029"/>
        </c:manualLayout>
      </c:layout>
      <c:scatterChart>
        <c:scatterStyle val="smoothMarker"/>
        <c:varyColors val="0"/>
        <c:ser>
          <c:idx val="0"/>
          <c:order val="0"/>
          <c:tx>
            <c:strRef>
              <c:f>data!$AG$1:$AG$3</c:f>
              <c:strCache>
                <c:ptCount val="3"/>
                <c:pt idx="0">
                  <c:v>world energy consumption</c:v>
                </c:pt>
                <c:pt idx="1">
                  <c:v>primary energy per capita</c:v>
                </c:pt>
                <c:pt idx="2">
                  <c:v>kWh/(cap a)</c:v>
                </c:pt>
              </c:strCache>
            </c:strRef>
          </c:tx>
          <c:spPr>
            <a:ln w="19050" cap="rnd">
              <a:solidFill>
                <a:srgbClr val="FF0000"/>
              </a:solidFill>
              <a:round/>
            </a:ln>
            <a:effectLst/>
          </c:spPr>
          <c:marker>
            <c:symbol val="none"/>
          </c:marker>
          <c:xVal>
            <c:numRef>
              <c:f>data!$A$4:$A$74</c:f>
              <c:numCache>
                <c:formatCode>General</c:formatCode>
                <c:ptCount val="71"/>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numCache>
            </c:numRef>
          </c:xVal>
          <c:yVal>
            <c:numRef>
              <c:f>data!$AG$4:$AG$74</c:f>
              <c:numCache>
                <c:formatCode>General</c:formatCode>
                <c:ptCount val="71"/>
                <c:pt idx="0">
                  <c:v>0</c:v>
                </c:pt>
                <c:pt idx="17">
                  <c:v>12937.566019443382</c:v>
                </c:pt>
                <c:pt idx="18">
                  <c:v>13365.958374499874</c:v>
                </c:pt>
                <c:pt idx="19">
                  <c:v>13589.551272710998</c:v>
                </c:pt>
                <c:pt idx="20">
                  <c:v>14118.494600960523</c:v>
                </c:pt>
                <c:pt idx="21">
                  <c:v>14773.059243613474</c:v>
                </c:pt>
                <c:pt idx="22">
                  <c:v>15373.315318725823</c:v>
                </c:pt>
                <c:pt idx="23">
                  <c:v>15699.28442035654</c:v>
                </c:pt>
                <c:pt idx="24">
                  <c:v>16219.029592387231</c:v>
                </c:pt>
                <c:pt idx="25">
                  <c:v>16820.008352171859</c:v>
                </c:pt>
                <c:pt idx="26">
                  <c:v>16579.914849488501</c:v>
                </c:pt>
                <c:pt idx="27">
                  <c:v>16357.042920263948</c:v>
                </c:pt>
                <c:pt idx="28">
                  <c:v>16934.948513917174</c:v>
                </c:pt>
                <c:pt idx="29">
                  <c:v>17226.535365581822</c:v>
                </c:pt>
                <c:pt idx="30">
                  <c:v>17507.728318967274</c:v>
                </c:pt>
                <c:pt idx="31">
                  <c:v>17802.020290385448</c:v>
                </c:pt>
                <c:pt idx="32">
                  <c:v>17365.281194455722</c:v>
                </c:pt>
                <c:pt idx="33">
                  <c:v>16967.430322840824</c:v>
                </c:pt>
                <c:pt idx="34">
                  <c:v>16601.434501781812</c:v>
                </c:pt>
                <c:pt idx="35">
                  <c:v>16569.305754313587</c:v>
                </c:pt>
                <c:pt idx="36">
                  <c:v>17045.904788569926</c:v>
                </c:pt>
                <c:pt idx="37">
                  <c:v>17167.922362443551</c:v>
                </c:pt>
                <c:pt idx="38">
                  <c:v>17228.541063351484</c:v>
                </c:pt>
                <c:pt idx="39">
                  <c:v>17505.926311597497</c:v>
                </c:pt>
                <c:pt idx="40">
                  <c:v>17839.037651216717</c:v>
                </c:pt>
                <c:pt idx="41">
                  <c:v>17872.156972561213</c:v>
                </c:pt>
                <c:pt idx="42">
                  <c:v>17773.018704331957</c:v>
                </c:pt>
                <c:pt idx="43">
                  <c:v>17601.192411631037</c:v>
                </c:pt>
                <c:pt idx="44">
                  <c:v>17447.996424267432</c:v>
                </c:pt>
                <c:pt idx="45">
                  <c:v>17320.083669814048</c:v>
                </c:pt>
                <c:pt idx="46">
                  <c:v>17295.937502468772</c:v>
                </c:pt>
                <c:pt idx="47">
                  <c:v>17397.450622928427</c:v>
                </c:pt>
                <c:pt idx="48">
                  <c:v>17668.253543549963</c:v>
                </c:pt>
                <c:pt idx="49">
                  <c:v>17608.135512151992</c:v>
                </c:pt>
                <c:pt idx="50">
                  <c:v>17477.550261039298</c:v>
                </c:pt>
                <c:pt idx="51">
                  <c:v>17561.98881902689</c:v>
                </c:pt>
                <c:pt idx="52">
                  <c:v>17769.229158447441</c:v>
                </c:pt>
                <c:pt idx="53">
                  <c:v>17741.023199102794</c:v>
                </c:pt>
                <c:pt idx="54">
                  <c:v>17914.484105575604</c:v>
                </c:pt>
                <c:pt idx="55">
                  <c:v>18340.620322781357</c:v>
                </c:pt>
                <c:pt idx="56">
                  <c:v>19003.040535954595</c:v>
                </c:pt>
                <c:pt idx="57">
                  <c:v>19417.265686329909</c:v>
                </c:pt>
                <c:pt idx="58">
                  <c:v>19737.881324235237</c:v>
                </c:pt>
                <c:pt idx="59">
                  <c:v>20114.864490868415</c:v>
                </c:pt>
                <c:pt idx="60">
                  <c:v>20114.559443696035</c:v>
                </c:pt>
                <c:pt idx="61">
                  <c:v>19589.911954029358</c:v>
                </c:pt>
                <c:pt idx="62">
                  <c:v>20291.726019392576</c:v>
                </c:pt>
                <c:pt idx="63">
                  <c:v>20551.896450990469</c:v>
                </c:pt>
                <c:pt idx="64">
                  <c:v>20589.057864745435</c:v>
                </c:pt>
                <c:pt idx="65">
                  <c:v>20741.734105423122</c:v>
                </c:pt>
                <c:pt idx="66">
                  <c:v>20693.343870004683</c:v>
                </c:pt>
                <c:pt idx="67">
                  <c:v>20623.656947419509</c:v>
                </c:pt>
                <c:pt idx="68">
                  <c:v>20676.9865904824</c:v>
                </c:pt>
                <c:pt idx="69">
                  <c:v>20827.587541393856</c:v>
                </c:pt>
                <c:pt idx="70">
                  <c:v>21197.095182763835</c:v>
                </c:pt>
              </c:numCache>
            </c:numRef>
          </c:yVal>
          <c:smooth val="1"/>
          <c:extLst>
            <c:ext xmlns:c16="http://schemas.microsoft.com/office/drawing/2014/chart" uri="{C3380CC4-5D6E-409C-BE32-E72D297353CC}">
              <c16:uniqueId val="{00000000-251B-4025-93CE-F35280605409}"/>
            </c:ext>
          </c:extLst>
        </c:ser>
        <c:ser>
          <c:idx val="1"/>
          <c:order val="1"/>
          <c:tx>
            <c:strRef>
              <c:f>data!$AH$1:$AH$3</c:f>
              <c:strCache>
                <c:ptCount val="3"/>
                <c:pt idx="0">
                  <c:v>world energy consumption</c:v>
                </c:pt>
                <c:pt idx="1">
                  <c:v>OECD primary energy per capita</c:v>
                </c:pt>
                <c:pt idx="2">
                  <c:v>kWh/(cap a)</c:v>
                </c:pt>
              </c:strCache>
            </c:strRef>
          </c:tx>
          <c:spPr>
            <a:ln w="19050" cap="rnd">
              <a:solidFill>
                <a:srgbClr val="0070C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data!$AH$4:$AH$156</c:f>
              <c:numCache>
                <c:formatCode>General</c:formatCode>
                <c:ptCount val="153"/>
                <c:pt idx="17">
                  <c:v>35039.962140778276</c:v>
                </c:pt>
                <c:pt idx="18">
                  <c:v>36353.185615088762</c:v>
                </c:pt>
                <c:pt idx="19">
                  <c:v>37356.532822924717</c:v>
                </c:pt>
                <c:pt idx="20">
                  <c:v>39390.65459045973</c:v>
                </c:pt>
                <c:pt idx="21">
                  <c:v>41571.473288946676</c:v>
                </c:pt>
                <c:pt idx="22">
                  <c:v>43353.828960931496</c:v>
                </c:pt>
                <c:pt idx="23">
                  <c:v>44011.906225078128</c:v>
                </c:pt>
                <c:pt idx="24">
                  <c:v>45744.520078155358</c:v>
                </c:pt>
                <c:pt idx="25">
                  <c:v>47773.133586622469</c:v>
                </c:pt>
                <c:pt idx="26">
                  <c:v>46575.091286887342</c:v>
                </c:pt>
                <c:pt idx="27">
                  <c:v>45170.643274069284</c:v>
                </c:pt>
                <c:pt idx="28">
                  <c:v>47168.30414806839</c:v>
                </c:pt>
                <c:pt idx="29">
                  <c:v>47721.423855277681</c:v>
                </c:pt>
                <c:pt idx="30">
                  <c:v>48339.789003943137</c:v>
                </c:pt>
                <c:pt idx="31">
                  <c:v>49194.284051354574</c:v>
                </c:pt>
                <c:pt idx="32">
                  <c:v>47516.484717973231</c:v>
                </c:pt>
                <c:pt idx="33">
                  <c:v>45985.733741859964</c:v>
                </c:pt>
                <c:pt idx="34">
                  <c:v>44329.040215766552</c:v>
                </c:pt>
                <c:pt idx="35">
                  <c:v>44048.514571676715</c:v>
                </c:pt>
                <c:pt idx="36">
                  <c:v>45689.668049815904</c:v>
                </c:pt>
                <c:pt idx="37">
                  <c:v>46219.747818349169</c:v>
                </c:pt>
                <c:pt idx="38">
                  <c:v>46362.914179757667</c:v>
                </c:pt>
                <c:pt idx="39">
                  <c:v>47281.42332335344</c:v>
                </c:pt>
                <c:pt idx="40">
                  <c:v>48487.180688256194</c:v>
                </c:pt>
                <c:pt idx="41">
                  <c:v>48978.095849900797</c:v>
                </c:pt>
                <c:pt idx="42">
                  <c:v>48904.73308102115</c:v>
                </c:pt>
                <c:pt idx="43">
                  <c:v>48880.038554376006</c:v>
                </c:pt>
                <c:pt idx="44">
                  <c:v>48994.658341260052</c:v>
                </c:pt>
                <c:pt idx="45">
                  <c:v>49299.403676026821</c:v>
                </c:pt>
                <c:pt idx="46">
                  <c:v>49759.744050066744</c:v>
                </c:pt>
                <c:pt idx="47">
                  <c:v>50589.125441780416</c:v>
                </c:pt>
                <c:pt idx="48">
                  <c:v>51891.086596551839</c:v>
                </c:pt>
                <c:pt idx="49">
                  <c:v>52023.434244874305</c:v>
                </c:pt>
                <c:pt idx="50">
                  <c:v>51833.365108287333</c:v>
                </c:pt>
                <c:pt idx="51">
                  <c:v>52242.095990777998</c:v>
                </c:pt>
                <c:pt idx="52">
                  <c:v>52915.010399266976</c:v>
                </c:pt>
                <c:pt idx="53">
                  <c:v>52198.759644507052</c:v>
                </c:pt>
                <c:pt idx="54">
                  <c:v>52309.925984318819</c:v>
                </c:pt>
                <c:pt idx="55">
                  <c:v>52433.968477713905</c:v>
                </c:pt>
                <c:pt idx="56">
                  <c:v>53033.183512873802</c:v>
                </c:pt>
                <c:pt idx="57">
                  <c:v>53063.832116521306</c:v>
                </c:pt>
                <c:pt idx="58">
                  <c:v>52814.9075318217</c:v>
                </c:pt>
                <c:pt idx="59">
                  <c:v>52780.076187539904</c:v>
                </c:pt>
                <c:pt idx="60">
                  <c:v>51871.414882799123</c:v>
                </c:pt>
                <c:pt idx="61">
                  <c:v>49017.781098181775</c:v>
                </c:pt>
                <c:pt idx="62">
                  <c:v>50540.405360120036</c:v>
                </c:pt>
                <c:pt idx="63">
                  <c:v>49718.246041092447</c:v>
                </c:pt>
                <c:pt idx="64">
                  <c:v>48915.257871283604</c:v>
                </c:pt>
                <c:pt idx="65">
                  <c:v>49131.277013579194</c:v>
                </c:pt>
                <c:pt idx="66">
                  <c:v>48483.027891272861</c:v>
                </c:pt>
                <c:pt idx="67">
                  <c:v>48297.198956383894</c:v>
                </c:pt>
                <c:pt idx="68">
                  <c:v>48312.967195917059</c:v>
                </c:pt>
                <c:pt idx="69">
                  <c:v>48517.555495428503</c:v>
                </c:pt>
                <c:pt idx="70">
                  <c:v>48954.469137758482</c:v>
                </c:pt>
                <c:pt idx="71">
                  <c:v>48954.469137758482</c:v>
                </c:pt>
                <c:pt idx="72">
                  <c:v>48954.469137758482</c:v>
                </c:pt>
                <c:pt idx="73">
                  <c:v>48954.469137758482</c:v>
                </c:pt>
              </c:numCache>
            </c:numRef>
          </c:yVal>
          <c:smooth val="1"/>
          <c:extLst>
            <c:ext xmlns:c16="http://schemas.microsoft.com/office/drawing/2014/chart" uri="{C3380CC4-5D6E-409C-BE32-E72D297353CC}">
              <c16:uniqueId val="{00000001-251B-4025-93CE-F35280605409}"/>
            </c:ext>
          </c:extLst>
        </c:ser>
        <c:ser>
          <c:idx val="2"/>
          <c:order val="2"/>
          <c:tx>
            <c:strRef>
              <c:f>data!$AI$1:$AI$3</c:f>
              <c:strCache>
                <c:ptCount val="3"/>
                <c:pt idx="0">
                  <c:v>world energy consumption</c:v>
                </c:pt>
                <c:pt idx="1">
                  <c:v>non-OECD primary energy per capita</c:v>
                </c:pt>
                <c:pt idx="2">
                  <c:v>kWh/(cap a)</c:v>
                </c:pt>
              </c:strCache>
            </c:strRef>
          </c:tx>
          <c:spPr>
            <a:ln w="19050" cap="rnd">
              <a:solidFill>
                <a:srgbClr val="0070C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data!$AI$4:$AI$156</c:f>
              <c:numCache>
                <c:formatCode>General</c:formatCode>
                <c:ptCount val="153"/>
                <c:pt idx="17">
                  <c:v>5161.2974230553091</c:v>
                </c:pt>
                <c:pt idx="18">
                  <c:v>5366.5106812802505</c:v>
                </c:pt>
                <c:pt idx="19">
                  <c:v>5416.6821904045046</c:v>
                </c:pt>
                <c:pt idx="20">
                  <c:v>5535.7990987437679</c:v>
                </c:pt>
                <c:pt idx="21">
                  <c:v>5785.5178838307447</c:v>
                </c:pt>
                <c:pt idx="22">
                  <c:v>6103.7953752133726</c:v>
                </c:pt>
                <c:pt idx="23">
                  <c:v>6430.9230108456659</c:v>
                </c:pt>
                <c:pt idx="24">
                  <c:v>6665.6446045810717</c:v>
                </c:pt>
                <c:pt idx="25">
                  <c:v>6918.3763842510152</c:v>
                </c:pt>
                <c:pt idx="26">
                  <c:v>7092.0295076915627</c:v>
                </c:pt>
                <c:pt idx="27">
                  <c:v>7343.9094544166792</c:v>
                </c:pt>
                <c:pt idx="28">
                  <c:v>7581.4719661524323</c:v>
                </c:pt>
                <c:pt idx="29">
                  <c:v>7894.7373369823399</c:v>
                </c:pt>
                <c:pt idx="30">
                  <c:v>8175.4291204610954</c:v>
                </c:pt>
                <c:pt idx="31">
                  <c:v>8404.8531104190588</c:v>
                </c:pt>
                <c:pt idx="32">
                  <c:v>8441.0517685612995</c:v>
                </c:pt>
                <c:pt idx="33">
                  <c:v>8476.5285534363484</c:v>
                </c:pt>
                <c:pt idx="34">
                  <c:v>8581.8985154964521</c:v>
                </c:pt>
                <c:pt idx="35">
                  <c:v>8715.1693158057315</c:v>
                </c:pt>
                <c:pt idx="36">
                  <c:v>8957.929985489156</c:v>
                </c:pt>
                <c:pt idx="37">
                  <c:v>9066.7568853501925</c:v>
                </c:pt>
                <c:pt idx="38">
                  <c:v>9208.5396569691075</c:v>
                </c:pt>
                <c:pt idx="39">
                  <c:v>9416.4491877597866</c:v>
                </c:pt>
                <c:pt idx="40">
                  <c:v>9619.8004549976013</c:v>
                </c:pt>
                <c:pt idx="41">
                  <c:v>9632.1551245971114</c:v>
                </c:pt>
                <c:pt idx="42">
                  <c:v>9618.9402315849711</c:v>
                </c:pt>
                <c:pt idx="43">
                  <c:v>9491.8652617930493</c:v>
                </c:pt>
                <c:pt idx="44">
                  <c:v>9344.6794879043409</c:v>
                </c:pt>
                <c:pt idx="45">
                  <c:v>9175.4880082633099</c:v>
                </c:pt>
                <c:pt idx="46">
                  <c:v>9094.9326560515819</c:v>
                </c:pt>
                <c:pt idx="47">
                  <c:v>9079.0259105287005</c:v>
                </c:pt>
                <c:pt idx="48">
                  <c:v>9158.3447461691212</c:v>
                </c:pt>
                <c:pt idx="49">
                  <c:v>9115.6795196450639</c:v>
                </c:pt>
                <c:pt idx="50">
                  <c:v>9062.8844562053691</c:v>
                </c:pt>
                <c:pt idx="51">
                  <c:v>9129.1785849133375</c:v>
                </c:pt>
                <c:pt idx="52">
                  <c:v>9282.6940146807592</c:v>
                </c:pt>
                <c:pt idx="53">
                  <c:v>9476.6849442336224</c:v>
                </c:pt>
                <c:pt idx="54">
                  <c:v>9719.1909548669337</c:v>
                </c:pt>
                <c:pt idx="55">
                  <c:v>10269.332440657361</c:v>
                </c:pt>
                <c:pt idx="56">
                  <c:v>10997.286959356039</c:v>
                </c:pt>
                <c:pt idx="57">
                  <c:v>11550.646199621611</c:v>
                </c:pt>
                <c:pt idx="58">
                  <c:v>12051.442858441367</c:v>
                </c:pt>
                <c:pt idx="59">
                  <c:v>12569.733050706707</c:v>
                </c:pt>
                <c:pt idx="60">
                  <c:v>12823.330853601967</c:v>
                </c:pt>
                <c:pt idx="61">
                  <c:v>12874.635165674541</c:v>
                </c:pt>
                <c:pt idx="62">
                  <c:v>13432.314434288252</c:v>
                </c:pt>
                <c:pt idx="63">
                  <c:v>13980.598029969047</c:v>
                </c:pt>
                <c:pt idx="64">
                  <c:v>14249.3761797837</c:v>
                </c:pt>
                <c:pt idx="65">
                  <c:v>14430.644451549957</c:v>
                </c:pt>
                <c:pt idx="66">
                  <c:v>14557.084663635296</c:v>
                </c:pt>
                <c:pt idx="67">
                  <c:v>14553.531873694372</c:v>
                </c:pt>
                <c:pt idx="68">
                  <c:v>14654.4416594509</c:v>
                </c:pt>
                <c:pt idx="69">
                  <c:v>14831.926659657169</c:v>
                </c:pt>
                <c:pt idx="70">
                  <c:v>15225.677546080633</c:v>
                </c:pt>
                <c:pt idx="71" formatCode="0.00">
                  <c:v>15366.283058835003</c:v>
                </c:pt>
                <c:pt idx="72" formatCode="0.00">
                  <c:v>15506.888571589372</c:v>
                </c:pt>
                <c:pt idx="73" formatCode="0.00">
                  <c:v>15647.494084343742</c:v>
                </c:pt>
              </c:numCache>
            </c:numRef>
          </c:yVal>
          <c:smooth val="1"/>
          <c:extLst>
            <c:ext xmlns:c16="http://schemas.microsoft.com/office/drawing/2014/chart" uri="{C3380CC4-5D6E-409C-BE32-E72D297353CC}">
              <c16:uniqueId val="{00000002-251B-4025-93CE-F35280605409}"/>
            </c:ext>
          </c:extLst>
        </c:ser>
        <c:ser>
          <c:idx val="4"/>
          <c:order val="3"/>
          <c:tx>
            <c:strRef>
              <c:f>texts!$A$69</c:f>
              <c:strCache>
                <c:ptCount val="1"/>
                <c:pt idx="0">
                  <c:v>add demand CO2 economy &amp; DACCS</c:v>
                </c:pt>
              </c:strCache>
            </c:strRef>
          </c:tx>
          <c:spPr>
            <a:ln w="19050" cap="rnd">
              <a:solidFill>
                <a:srgbClr val="FF99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data!$CC$6:$CC$156</c:f>
              <c:numCache>
                <c:formatCode>General</c:formatCode>
                <c:ptCount val="151"/>
                <c:pt idx="69" formatCode="0.00">
                  <c:v>21316.381813864529</c:v>
                </c:pt>
                <c:pt idx="70" formatCode="0.00">
                  <c:v>21435.668444965224</c:v>
                </c:pt>
                <c:pt idx="71" formatCode="0.00">
                  <c:v>21554.955076065922</c:v>
                </c:pt>
                <c:pt idx="72" formatCode="0.00">
                  <c:v>21674.241707166617</c:v>
                </c:pt>
                <c:pt idx="73" formatCode="0.00">
                  <c:v>21793.528338267311</c:v>
                </c:pt>
                <c:pt idx="74" formatCode="0.00">
                  <c:v>21912.814969368006</c:v>
                </c:pt>
                <c:pt idx="75" formatCode="0.00">
                  <c:v>22032.101600468704</c:v>
                </c:pt>
                <c:pt idx="76" formatCode="0.00">
                  <c:v>22151.388231569399</c:v>
                </c:pt>
                <c:pt idx="77" formatCode="0.00">
                  <c:v>22270.674862670094</c:v>
                </c:pt>
                <c:pt idx="78" formatCode="0.00">
                  <c:v>22389.961493770788</c:v>
                </c:pt>
                <c:pt idx="79" formatCode="0.00">
                  <c:v>22509.24812487149</c:v>
                </c:pt>
                <c:pt idx="80" formatCode="0.00">
                  <c:v>22628.534755972181</c:v>
                </c:pt>
                <c:pt idx="81" formatCode="0.00">
                  <c:v>22747.821387072872</c:v>
                </c:pt>
                <c:pt idx="82" formatCode="0.00">
                  <c:v>22867.108018173567</c:v>
                </c:pt>
                <c:pt idx="83" formatCode="0.00">
                  <c:v>22986.394649274265</c:v>
                </c:pt>
                <c:pt idx="84" formatCode="0.00">
                  <c:v>23105.681280374964</c:v>
                </c:pt>
                <c:pt idx="85" formatCode="0.00">
                  <c:v>23224.967911475655</c:v>
                </c:pt>
                <c:pt idx="86" formatCode="0.00">
                  <c:v>23344.254542576356</c:v>
                </c:pt>
                <c:pt idx="87" formatCode="0.00">
                  <c:v>23463.541173677047</c:v>
                </c:pt>
                <c:pt idx="88" formatCode="0.00">
                  <c:v>23582.827804777742</c:v>
                </c:pt>
                <c:pt idx="89" formatCode="0.00">
                  <c:v>23702.11443587844</c:v>
                </c:pt>
                <c:pt idx="90" formatCode="0.00">
                  <c:v>23821.401066979135</c:v>
                </c:pt>
                <c:pt idx="91" formatCode="0.00">
                  <c:v>23940.68769807983</c:v>
                </c:pt>
                <c:pt idx="92" formatCode="0.00">
                  <c:v>24059.974329180528</c:v>
                </c:pt>
                <c:pt idx="93" formatCode="0.00">
                  <c:v>24179.260960281223</c:v>
                </c:pt>
                <c:pt idx="94" formatCode="0.00">
                  <c:v>24298.547591381921</c:v>
                </c:pt>
                <c:pt idx="95" formatCode="0.00">
                  <c:v>24417.834222482616</c:v>
                </c:pt>
                <c:pt idx="96" formatCode="0.00">
                  <c:v>24537.120853583307</c:v>
                </c:pt>
                <c:pt idx="97" formatCode="0.00">
                  <c:v>24656.407484684005</c:v>
                </c:pt>
                <c:pt idx="98" formatCode="0.00">
                  <c:v>24775.6941157847</c:v>
                </c:pt>
                <c:pt idx="99" formatCode="0.00">
                  <c:v>24894.980746885394</c:v>
                </c:pt>
                <c:pt idx="100" formatCode="0.00">
                  <c:v>25014.267377986092</c:v>
                </c:pt>
                <c:pt idx="101" formatCode="0.00">
                  <c:v>25133.554009086787</c:v>
                </c:pt>
                <c:pt idx="102" formatCode="0.00">
                  <c:v>25252.840640187478</c:v>
                </c:pt>
                <c:pt idx="103" formatCode="0.00">
                  <c:v>25372.127271288176</c:v>
                </c:pt>
                <c:pt idx="104" formatCode="0.00">
                  <c:v>25491.413902388871</c:v>
                </c:pt>
                <c:pt idx="105" formatCode="0.00">
                  <c:v>25610.700533489566</c:v>
                </c:pt>
                <c:pt idx="106" formatCode="0.00">
                  <c:v>25729.987164590264</c:v>
                </c:pt>
                <c:pt idx="107" formatCode="0.00">
                  <c:v>25849.273795690962</c:v>
                </c:pt>
                <c:pt idx="108" formatCode="0.00">
                  <c:v>25968.56042679165</c:v>
                </c:pt>
                <c:pt idx="109" formatCode="0.00">
                  <c:v>26087.847057892355</c:v>
                </c:pt>
                <c:pt idx="110" formatCode="0.00">
                  <c:v>26207.13368899305</c:v>
                </c:pt>
                <c:pt idx="111" formatCode="0.00">
                  <c:v>26326.420320093745</c:v>
                </c:pt>
                <c:pt idx="112" formatCode="0.00">
                  <c:v>26445.706951194436</c:v>
                </c:pt>
                <c:pt idx="113" formatCode="0.00">
                  <c:v>26564.993582295127</c:v>
                </c:pt>
                <c:pt idx="114" formatCode="0.00">
                  <c:v>26684.280213395825</c:v>
                </c:pt>
                <c:pt idx="115" formatCode="0.00">
                  <c:v>26803.566844496516</c:v>
                </c:pt>
                <c:pt idx="116" formatCode="0.00">
                  <c:v>26922.853475597221</c:v>
                </c:pt>
                <c:pt idx="117" formatCode="0.00">
                  <c:v>27042.140106697912</c:v>
                </c:pt>
                <c:pt idx="118" formatCode="0.00">
                  <c:v>27161.426737798614</c:v>
                </c:pt>
                <c:pt idx="119" formatCode="0.00">
                  <c:v>27280.713368899305</c:v>
                </c:pt>
                <c:pt idx="120" formatCode="0.00">
                  <c:v>27400</c:v>
                </c:pt>
                <c:pt idx="121" formatCode="0.00">
                  <c:v>27400</c:v>
                </c:pt>
                <c:pt idx="122" formatCode="0.00">
                  <c:v>27400</c:v>
                </c:pt>
                <c:pt idx="123" formatCode="0.00">
                  <c:v>27400</c:v>
                </c:pt>
                <c:pt idx="124" formatCode="0.00">
                  <c:v>27400.000000000004</c:v>
                </c:pt>
                <c:pt idx="125" formatCode="0.00">
                  <c:v>27400</c:v>
                </c:pt>
                <c:pt idx="126" formatCode="0.00">
                  <c:v>27400</c:v>
                </c:pt>
                <c:pt idx="127" formatCode="0.00">
                  <c:v>27400</c:v>
                </c:pt>
                <c:pt idx="128" formatCode="0.00">
                  <c:v>27400</c:v>
                </c:pt>
                <c:pt idx="129" formatCode="0.00">
                  <c:v>27400</c:v>
                </c:pt>
                <c:pt idx="130" formatCode="0.00">
                  <c:v>27400</c:v>
                </c:pt>
                <c:pt idx="131" formatCode="0.00">
                  <c:v>27400</c:v>
                </c:pt>
                <c:pt idx="132" formatCode="0.00">
                  <c:v>27400</c:v>
                </c:pt>
                <c:pt idx="133" formatCode="0.00">
                  <c:v>27400</c:v>
                </c:pt>
                <c:pt idx="134" formatCode="0.00">
                  <c:v>27400.000000000004</c:v>
                </c:pt>
                <c:pt idx="135" formatCode="0.00">
                  <c:v>27400.000000000004</c:v>
                </c:pt>
                <c:pt idx="136" formatCode="0.00">
                  <c:v>27400.000000000004</c:v>
                </c:pt>
                <c:pt idx="137" formatCode="0.00">
                  <c:v>27400</c:v>
                </c:pt>
                <c:pt idx="138" formatCode="0.00">
                  <c:v>27399.999999999993</c:v>
                </c:pt>
                <c:pt idx="139" formatCode="0.00">
                  <c:v>27400</c:v>
                </c:pt>
                <c:pt idx="140" formatCode="0.00">
                  <c:v>27399.999999999996</c:v>
                </c:pt>
                <c:pt idx="141" formatCode="0.00">
                  <c:v>27399.999999999993</c:v>
                </c:pt>
                <c:pt idx="142" formatCode="0.00">
                  <c:v>27400</c:v>
                </c:pt>
                <c:pt idx="143" formatCode="0.00">
                  <c:v>27400</c:v>
                </c:pt>
                <c:pt idx="144" formatCode="0.00">
                  <c:v>27400</c:v>
                </c:pt>
                <c:pt idx="145" formatCode="0.00">
                  <c:v>27400</c:v>
                </c:pt>
                <c:pt idx="146" formatCode="0.00">
                  <c:v>27400</c:v>
                </c:pt>
                <c:pt idx="147" formatCode="0.00">
                  <c:v>27400</c:v>
                </c:pt>
                <c:pt idx="148" formatCode="0.00">
                  <c:v>27399.999999999993</c:v>
                </c:pt>
                <c:pt idx="149" formatCode="0.00">
                  <c:v>27399.999999999993</c:v>
                </c:pt>
                <c:pt idx="150" formatCode="0.00">
                  <c:v>27400</c:v>
                </c:pt>
              </c:numCache>
            </c:numRef>
          </c:yVal>
          <c:smooth val="1"/>
          <c:extLst>
            <c:ext xmlns:c16="http://schemas.microsoft.com/office/drawing/2014/chart" uri="{C3380CC4-5D6E-409C-BE32-E72D297353CC}">
              <c16:uniqueId val="{00000003-251B-4025-93CE-F35280605409}"/>
            </c:ext>
          </c:extLst>
        </c:ser>
        <c:ser>
          <c:idx val="3"/>
          <c:order val="4"/>
          <c:tx>
            <c:strRef>
              <c:f>texts!$A$37</c:f>
              <c:strCache>
                <c:ptCount val="1"/>
                <c:pt idx="0">
                  <c:v>energy chosen</c:v>
                </c:pt>
              </c:strCache>
            </c:strRef>
          </c:tx>
          <c:spPr>
            <a:ln w="19050" cap="rnd">
              <a:solidFill>
                <a:srgbClr val="FF000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data!$AJ$4:$AJ$156</c:f>
              <c:numCache>
                <c:formatCode>General</c:formatCode>
                <c:ptCount val="153"/>
                <c:pt idx="70">
                  <c:v>21197.095182763835</c:v>
                </c:pt>
                <c:pt idx="71">
                  <c:v>21316.381813864529</c:v>
                </c:pt>
                <c:pt idx="72">
                  <c:v>21435.668444965224</c:v>
                </c:pt>
                <c:pt idx="73">
                  <c:v>21554.955076065922</c:v>
                </c:pt>
                <c:pt idx="74">
                  <c:v>21674.241707166617</c:v>
                </c:pt>
                <c:pt idx="75">
                  <c:v>21793.528338267311</c:v>
                </c:pt>
                <c:pt idx="76">
                  <c:v>21912.814969368006</c:v>
                </c:pt>
                <c:pt idx="77">
                  <c:v>22032.101600468704</c:v>
                </c:pt>
                <c:pt idx="78">
                  <c:v>22151.388231569399</c:v>
                </c:pt>
                <c:pt idx="79">
                  <c:v>22270.674862670094</c:v>
                </c:pt>
                <c:pt idx="80">
                  <c:v>22389.961493770788</c:v>
                </c:pt>
                <c:pt idx="81">
                  <c:v>22509.248124871487</c:v>
                </c:pt>
                <c:pt idx="82">
                  <c:v>22628.534755972181</c:v>
                </c:pt>
                <c:pt idx="83">
                  <c:v>22747.821387072876</c:v>
                </c:pt>
                <c:pt idx="84">
                  <c:v>22867.108018173571</c:v>
                </c:pt>
                <c:pt idx="85">
                  <c:v>22986.394649274265</c:v>
                </c:pt>
                <c:pt idx="86">
                  <c:v>23105.681280374964</c:v>
                </c:pt>
                <c:pt idx="87">
                  <c:v>23224.967911475658</c:v>
                </c:pt>
                <c:pt idx="88">
                  <c:v>23344.254542576353</c:v>
                </c:pt>
                <c:pt idx="89">
                  <c:v>23463.541173677047</c:v>
                </c:pt>
                <c:pt idx="90">
                  <c:v>23582.827804777746</c:v>
                </c:pt>
                <c:pt idx="91">
                  <c:v>23702.11443587844</c:v>
                </c:pt>
                <c:pt idx="92">
                  <c:v>23821.401066979135</c:v>
                </c:pt>
                <c:pt idx="93">
                  <c:v>23940.68769807983</c:v>
                </c:pt>
                <c:pt idx="94">
                  <c:v>24059.974329180528</c:v>
                </c:pt>
                <c:pt idx="95">
                  <c:v>24179.260960281223</c:v>
                </c:pt>
                <c:pt idx="96">
                  <c:v>24298.547591381917</c:v>
                </c:pt>
                <c:pt idx="97">
                  <c:v>24417.834222482612</c:v>
                </c:pt>
                <c:pt idx="98">
                  <c:v>24537.120853583307</c:v>
                </c:pt>
                <c:pt idx="99">
                  <c:v>24656.407484684005</c:v>
                </c:pt>
                <c:pt idx="100">
                  <c:v>24775.6941157847</c:v>
                </c:pt>
                <c:pt idx="101">
                  <c:v>24894.980746885394</c:v>
                </c:pt>
                <c:pt idx="102">
                  <c:v>25014.267377986092</c:v>
                </c:pt>
                <c:pt idx="103">
                  <c:v>25133.554009086787</c:v>
                </c:pt>
                <c:pt idx="104">
                  <c:v>25252.840640187482</c:v>
                </c:pt>
                <c:pt idx="105">
                  <c:v>25372.127271288176</c:v>
                </c:pt>
                <c:pt idx="106">
                  <c:v>25491.413902388871</c:v>
                </c:pt>
                <c:pt idx="107">
                  <c:v>25610.700533489566</c:v>
                </c:pt>
                <c:pt idx="108">
                  <c:v>25729.987164590264</c:v>
                </c:pt>
                <c:pt idx="109">
                  <c:v>25849.273795690959</c:v>
                </c:pt>
                <c:pt idx="110">
                  <c:v>25968.560426791653</c:v>
                </c:pt>
                <c:pt idx="111">
                  <c:v>26087.847057892352</c:v>
                </c:pt>
                <c:pt idx="112">
                  <c:v>26207.133688993046</c:v>
                </c:pt>
                <c:pt idx="113">
                  <c:v>26326.420320093741</c:v>
                </c:pt>
                <c:pt idx="114">
                  <c:v>26445.706951194436</c:v>
                </c:pt>
                <c:pt idx="115">
                  <c:v>26564.99358229513</c:v>
                </c:pt>
                <c:pt idx="116">
                  <c:v>26684.280213395825</c:v>
                </c:pt>
                <c:pt idx="117">
                  <c:v>26803.566844496523</c:v>
                </c:pt>
                <c:pt idx="118">
                  <c:v>26922.853475597218</c:v>
                </c:pt>
                <c:pt idx="119">
                  <c:v>27042.140106697912</c:v>
                </c:pt>
                <c:pt idx="120">
                  <c:v>27161.426737798611</c:v>
                </c:pt>
                <c:pt idx="121">
                  <c:v>27280.713368899305</c:v>
                </c:pt>
                <c:pt idx="122">
                  <c:v>27400</c:v>
                </c:pt>
                <c:pt idx="123">
                  <c:v>27400</c:v>
                </c:pt>
                <c:pt idx="124">
                  <c:v>27400</c:v>
                </c:pt>
                <c:pt idx="125">
                  <c:v>27400</c:v>
                </c:pt>
                <c:pt idx="126">
                  <c:v>27400</c:v>
                </c:pt>
                <c:pt idx="127">
                  <c:v>27400</c:v>
                </c:pt>
                <c:pt idx="128">
                  <c:v>27400</c:v>
                </c:pt>
                <c:pt idx="129">
                  <c:v>27400</c:v>
                </c:pt>
                <c:pt idx="130">
                  <c:v>27400</c:v>
                </c:pt>
                <c:pt idx="131">
                  <c:v>27400</c:v>
                </c:pt>
                <c:pt idx="132">
                  <c:v>27400</c:v>
                </c:pt>
                <c:pt idx="133">
                  <c:v>27400</c:v>
                </c:pt>
                <c:pt idx="134">
                  <c:v>27400</c:v>
                </c:pt>
                <c:pt idx="135">
                  <c:v>27400</c:v>
                </c:pt>
                <c:pt idx="136">
                  <c:v>27400</c:v>
                </c:pt>
                <c:pt idx="137">
                  <c:v>27400</c:v>
                </c:pt>
                <c:pt idx="138">
                  <c:v>27400</c:v>
                </c:pt>
                <c:pt idx="139">
                  <c:v>27400</c:v>
                </c:pt>
                <c:pt idx="140">
                  <c:v>27400</c:v>
                </c:pt>
                <c:pt idx="141">
                  <c:v>27400</c:v>
                </c:pt>
                <c:pt idx="142">
                  <c:v>27400</c:v>
                </c:pt>
                <c:pt idx="143">
                  <c:v>27400</c:v>
                </c:pt>
                <c:pt idx="144">
                  <c:v>27400</c:v>
                </c:pt>
                <c:pt idx="145">
                  <c:v>27400</c:v>
                </c:pt>
                <c:pt idx="146">
                  <c:v>27400</c:v>
                </c:pt>
                <c:pt idx="147">
                  <c:v>27400</c:v>
                </c:pt>
                <c:pt idx="148">
                  <c:v>27400</c:v>
                </c:pt>
                <c:pt idx="149">
                  <c:v>27400</c:v>
                </c:pt>
                <c:pt idx="150">
                  <c:v>27400</c:v>
                </c:pt>
                <c:pt idx="151">
                  <c:v>27400</c:v>
                </c:pt>
                <c:pt idx="152">
                  <c:v>27400</c:v>
                </c:pt>
              </c:numCache>
            </c:numRef>
          </c:yVal>
          <c:smooth val="1"/>
          <c:extLst>
            <c:ext xmlns:c16="http://schemas.microsoft.com/office/drawing/2014/chart" uri="{C3380CC4-5D6E-409C-BE32-E72D297353CC}">
              <c16:uniqueId val="{00000004-251B-4025-93CE-F35280605409}"/>
            </c:ext>
          </c:extLst>
        </c:ser>
        <c:dLbls>
          <c:showLegendKey val="0"/>
          <c:showVal val="0"/>
          <c:showCatName val="0"/>
          <c:showSerName val="0"/>
          <c:showPercent val="0"/>
          <c:showBubbleSize val="0"/>
        </c:dLbls>
        <c:axId val="408152664"/>
        <c:axId val="408153448"/>
      </c:scatterChart>
      <c:valAx>
        <c:axId val="40815266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8153448"/>
        <c:crosses val="autoZero"/>
        <c:crossBetween val="midCat"/>
        <c:majorUnit val="50"/>
      </c:valAx>
      <c:valAx>
        <c:axId val="408153448"/>
        <c:scaling>
          <c:orientation val="minMax"/>
          <c:max val="90000"/>
          <c:min val="0"/>
        </c:scaling>
        <c:delete val="0"/>
        <c:axPos val="l"/>
        <c:majorGridlines>
          <c:spPr>
            <a:ln w="9525" cap="flat" cmpd="sng" algn="ctr">
              <a:solidFill>
                <a:schemeClr val="tx1">
                  <a:lumMod val="15000"/>
                  <a:lumOff val="85000"/>
                </a:schemeClr>
              </a:solidFill>
              <a:round/>
            </a:ln>
            <a:effectLst/>
          </c:spPr>
        </c:majorGridlines>
        <c:title>
          <c:tx>
            <c:strRef>
              <c:f>texts!$A$41</c:f>
              <c:strCache>
                <c:ptCount val="1"/>
                <c:pt idx="0">
                  <c:v>in 1000 kWh/(cap a)</c:v>
                </c:pt>
              </c:strCache>
            </c:strRef>
          </c:tx>
          <c:layout>
            <c:manualLayout>
              <c:xMode val="edge"/>
              <c:yMode val="edge"/>
              <c:x val="3.6720248047790411E-5"/>
              <c:y val="8.3613976116016356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8152664"/>
        <c:crosses val="autoZero"/>
        <c:crossBetween val="midCat"/>
        <c:majorUnit val="10000"/>
        <c:dispUnits>
          <c:builtInUnit val="thousands"/>
        </c:dispUnits>
      </c:valAx>
      <c:spPr>
        <a:noFill/>
        <a:ln>
          <a:noFill/>
        </a:ln>
        <a:effectLst/>
      </c:spPr>
    </c:plotArea>
    <c:legend>
      <c:legendPos val="t"/>
      <c:legendEntry>
        <c:idx val="0"/>
        <c:delete val="1"/>
      </c:legendEntry>
      <c:legendEntry>
        <c:idx val="1"/>
        <c:delete val="1"/>
      </c:legendEntry>
      <c:legendEntry>
        <c:idx val="2"/>
        <c:delete val="1"/>
      </c:legendEntry>
      <c:legendEntry>
        <c:idx val="3"/>
        <c:txPr>
          <a:bodyPr rot="0" spcFirstLastPara="1" vertOverflow="ellipsis" vert="horz" wrap="square" anchor="ctr" anchorCtr="1"/>
          <a:lstStyle/>
          <a:p>
            <a:pPr>
              <a:defRPr sz="1100" b="0" i="0" u="none" strike="noStrike" kern="1200" baseline="0">
                <a:solidFill>
                  <a:srgbClr val="FF9900"/>
                </a:solidFill>
                <a:latin typeface="+mn-lt"/>
                <a:ea typeface="+mn-ea"/>
                <a:cs typeface="+mn-cs"/>
              </a:defRPr>
            </a:pPr>
            <a:endParaRPr lang="de-DE"/>
          </a:p>
        </c:txPr>
      </c:legendEntry>
      <c:legendEntry>
        <c:idx val="4"/>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de-DE"/>
          </a:p>
        </c:txPr>
      </c:legendEntry>
      <c:layout>
        <c:manualLayout>
          <c:xMode val="edge"/>
          <c:yMode val="edge"/>
          <c:x val="0.17517854862736756"/>
          <c:y val="0.15432098765432098"/>
          <c:w val="0.76232673618500391"/>
          <c:h val="0.1548848060659084"/>
        </c:manualLayout>
      </c:layout>
      <c:overlay val="1"/>
      <c:spPr>
        <a:noFill/>
        <a:ln>
          <a:noFill/>
        </a:ln>
        <a:effectLst/>
      </c:spPr>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texts!$A$311</c:f>
          <c:strCache>
            <c:ptCount val="1"/>
            <c:pt idx="0">
              <c:v>extra costs for CO2-economy</c:v>
            </c:pt>
          </c:strCache>
        </c:strRef>
      </c:tx>
      <c:layout>
        <c:manualLayout>
          <c:xMode val="edge"/>
          <c:yMode val="edge"/>
          <c:x val="0.1735765056394977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de-DE"/>
        </a:p>
      </c:txPr>
    </c:title>
    <c:autoTitleDeleted val="0"/>
    <c:plotArea>
      <c:layout>
        <c:manualLayout>
          <c:layoutTarget val="inner"/>
          <c:xMode val="edge"/>
          <c:yMode val="edge"/>
          <c:x val="0.18761012981485423"/>
          <c:y val="0.14638913191406633"/>
          <c:w val="0.7436796481520892"/>
          <c:h val="0.71834305434042955"/>
        </c:manualLayout>
      </c:layout>
      <c:areaChart>
        <c:grouping val="stacked"/>
        <c:varyColors val="0"/>
        <c:ser>
          <c:idx val="0"/>
          <c:order val="0"/>
          <c:tx>
            <c:strRef>
              <c:f>texts!$A$313</c:f>
              <c:strCache>
                <c:ptCount val="1"/>
                <c:pt idx="0">
                  <c:v>DACC for fuels and materials</c:v>
                </c:pt>
              </c:strCache>
            </c:strRef>
          </c:tx>
          <c:spPr>
            <a:solidFill>
              <a:schemeClr val="accent1"/>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data!$BZ$6:$BZ$156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0-10AD-4D0C-9895-1C6A34062063}"/>
            </c:ext>
          </c:extLst>
        </c:ser>
        <c:ser>
          <c:idx val="1"/>
          <c:order val="1"/>
          <c:tx>
            <c:strRef>
              <c:f>texts!$A$314</c:f>
              <c:strCache>
                <c:ptCount val="1"/>
                <c:pt idx="0">
                  <c:v>hydrogen for fuels and materials           </c:v>
                </c:pt>
              </c:strCache>
            </c:strRef>
          </c:tx>
          <c:spPr>
            <a:solidFill>
              <a:schemeClr val="accent2"/>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data!$CA$6:$CA$156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1-10AD-4D0C-9895-1C6A34062063}"/>
            </c:ext>
          </c:extLst>
        </c:ser>
        <c:ser>
          <c:idx val="2"/>
          <c:order val="2"/>
          <c:tx>
            <c:strRef>
              <c:f>texts!$A$315</c:f>
              <c:strCache>
                <c:ptCount val="1"/>
                <c:pt idx="0">
                  <c:v>DACCS</c:v>
                </c:pt>
              </c:strCache>
            </c:strRef>
          </c:tx>
          <c:spPr>
            <a:solidFill>
              <a:schemeClr val="accent3"/>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data!$CB$6:$CB$156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2-10AD-4D0C-9895-1C6A34062063}"/>
            </c:ext>
          </c:extLst>
        </c:ser>
        <c:dLbls>
          <c:showLegendKey val="0"/>
          <c:showVal val="0"/>
          <c:showCatName val="0"/>
          <c:showSerName val="0"/>
          <c:showPercent val="0"/>
          <c:showBubbleSize val="0"/>
        </c:dLbls>
        <c:axId val="582372655"/>
        <c:axId val="1014672671"/>
      </c:areaChart>
      <c:catAx>
        <c:axId val="5823726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1014672671"/>
        <c:crosses val="autoZero"/>
        <c:auto val="1"/>
        <c:lblAlgn val="ctr"/>
        <c:lblOffset val="100"/>
        <c:tickLblSkip val="50"/>
        <c:tickMarkSkip val="50"/>
        <c:noMultiLvlLbl val="0"/>
      </c:catAx>
      <c:valAx>
        <c:axId val="1014672671"/>
        <c:scaling>
          <c:orientation val="minMax"/>
        </c:scaling>
        <c:delete val="0"/>
        <c:axPos val="l"/>
        <c:majorGridlines>
          <c:spPr>
            <a:ln w="9525" cap="flat" cmpd="sng" algn="ctr">
              <a:solidFill>
                <a:schemeClr val="tx1">
                  <a:lumMod val="15000"/>
                  <a:lumOff val="85000"/>
                </a:schemeClr>
              </a:solidFill>
              <a:round/>
            </a:ln>
            <a:effectLst/>
          </c:spPr>
        </c:majorGridlines>
        <c:title>
          <c:tx>
            <c:strRef>
              <c:f>texts!$A$312</c:f>
              <c:strCache>
                <c:ptCount val="1"/>
                <c:pt idx="0">
                  <c:v>trillion €/a</c:v>
                </c:pt>
              </c:strCache>
            </c:strRef>
          </c:tx>
          <c:layout>
            <c:manualLayout>
              <c:xMode val="edge"/>
              <c:yMode val="edge"/>
              <c:x val="3.6037128441482021E-3"/>
              <c:y val="0.1250665888986098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582372655"/>
        <c:crosses val="autoZero"/>
        <c:crossBetween val="midCat"/>
        <c:dispUnits>
          <c:builtInUnit val="trillions"/>
        </c:dispUnits>
      </c:valAx>
      <c:spPr>
        <a:noFill/>
        <a:ln>
          <a:noFill/>
        </a:ln>
        <a:effectLst/>
      </c:spPr>
    </c:plotArea>
    <c:legend>
      <c:legendPos val="r"/>
      <c:layout>
        <c:manualLayout>
          <c:xMode val="edge"/>
          <c:yMode val="edge"/>
          <c:x val="0.18458537277434917"/>
          <c:y val="0.14628900554097404"/>
          <c:w val="0.6907903809321132"/>
          <c:h val="0.24508360066102849"/>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texts!$A$104</c:f>
          <c:strCache>
            <c:ptCount val="1"/>
            <c:pt idx="0">
              <c:v>fraction animal-based food</c:v>
            </c:pt>
          </c:strCache>
        </c:strRef>
      </c:tx>
      <c:layout>
        <c:manualLayout>
          <c:xMode val="edge"/>
          <c:yMode val="edge"/>
          <c:x val="8.6947474939126565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0269155057540884"/>
          <c:y val="0.135746586413234"/>
          <c:w val="0.8285985135271553"/>
          <c:h val="0.71109534708765787"/>
        </c:manualLayout>
      </c:layout>
      <c:scatterChart>
        <c:scatterStyle val="smoothMarker"/>
        <c:varyColors val="0"/>
        <c:ser>
          <c:idx val="0"/>
          <c:order val="0"/>
          <c:tx>
            <c:strRef>
              <c:f>data!$EG$1</c:f>
              <c:strCache>
                <c:ptCount val="1"/>
              </c:strCache>
            </c:strRef>
          </c:tx>
          <c:spPr>
            <a:ln w="19050" cap="rnd">
              <a:solidFill>
                <a:srgbClr val="00206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data!$EG$6:$EG$156</c:f>
              <c:numCache>
                <c:formatCode>General</c:formatCode>
                <c:ptCount val="151"/>
                <c:pt idx="11">
                  <c:v>0.1581196429776793</c:v>
                </c:pt>
                <c:pt idx="12">
                  <c:v>0.15672836698278675</c:v>
                </c:pt>
                <c:pt idx="13">
                  <c:v>0.15890644583349176</c:v>
                </c:pt>
                <c:pt idx="14">
                  <c:v>0.15655746692566128</c:v>
                </c:pt>
                <c:pt idx="15">
                  <c:v>0.15631920209887076</c:v>
                </c:pt>
                <c:pt idx="16">
                  <c:v>0.15697423017881276</c:v>
                </c:pt>
                <c:pt idx="17">
                  <c:v>0.15910047719599024</c:v>
                </c:pt>
                <c:pt idx="18">
                  <c:v>0.1611526178670723</c:v>
                </c:pt>
                <c:pt idx="19">
                  <c:v>0.15902383870428916</c:v>
                </c:pt>
                <c:pt idx="20">
                  <c:v>0.15642736786984743</c:v>
                </c:pt>
                <c:pt idx="21">
                  <c:v>0.15950643450207799</c:v>
                </c:pt>
                <c:pt idx="22">
                  <c:v>0.16152943006176218</c:v>
                </c:pt>
                <c:pt idx="23">
                  <c:v>0.15713191387402453</c:v>
                </c:pt>
                <c:pt idx="24">
                  <c:v>0.15952556130713624</c:v>
                </c:pt>
                <c:pt idx="25">
                  <c:v>0.1581031530586442</c:v>
                </c:pt>
                <c:pt idx="26">
                  <c:v>0.16021281446879029</c:v>
                </c:pt>
                <c:pt idx="27">
                  <c:v>0.15815482272131101</c:v>
                </c:pt>
                <c:pt idx="28">
                  <c:v>0.15708897359234492</c:v>
                </c:pt>
                <c:pt idx="29">
                  <c:v>0.16008683607123128</c:v>
                </c:pt>
                <c:pt idx="30">
                  <c:v>0.16057873694318328</c:v>
                </c:pt>
                <c:pt idx="31">
                  <c:v>0.15909177805794125</c:v>
                </c:pt>
                <c:pt idx="32">
                  <c:v>0.15623602607940215</c:v>
                </c:pt>
                <c:pt idx="33">
                  <c:v>0.1557929840728802</c:v>
                </c:pt>
                <c:pt idx="34">
                  <c:v>0.15686039111087666</c:v>
                </c:pt>
                <c:pt idx="35">
                  <c:v>0.15978009998209244</c:v>
                </c:pt>
                <c:pt idx="36">
                  <c:v>0.15887548650534933</c:v>
                </c:pt>
                <c:pt idx="37">
                  <c:v>0.15920539388942981</c:v>
                </c:pt>
                <c:pt idx="38">
                  <c:v>0.15941987099321903</c:v>
                </c:pt>
                <c:pt idx="39">
                  <c:v>0.15900656850688508</c:v>
                </c:pt>
                <c:pt idx="40">
                  <c:v>0.15966059883623152</c:v>
                </c:pt>
                <c:pt idx="41">
                  <c:v>0.15881428546742121</c:v>
                </c:pt>
                <c:pt idx="42">
                  <c:v>0.15774541217978946</c:v>
                </c:pt>
                <c:pt idx="43">
                  <c:v>0.15771291147607616</c:v>
                </c:pt>
                <c:pt idx="44">
                  <c:v>0.15893291910055699</c:v>
                </c:pt>
                <c:pt idx="45">
                  <c:v>0.15950422413286458</c:v>
                </c:pt>
                <c:pt idx="46">
                  <c:v>0.15879908760215583</c:v>
                </c:pt>
                <c:pt idx="47">
                  <c:v>0.1585455015484431</c:v>
                </c:pt>
                <c:pt idx="48">
                  <c:v>0.16078787844051742</c:v>
                </c:pt>
                <c:pt idx="49">
                  <c:v>0.16247632396475223</c:v>
                </c:pt>
                <c:pt idx="50">
                  <c:v>0.16327365505730942</c:v>
                </c:pt>
                <c:pt idx="51">
                  <c:v>0.16313161563580955</c:v>
                </c:pt>
                <c:pt idx="52">
                  <c:v>0.16567498827591173</c:v>
                </c:pt>
                <c:pt idx="53">
                  <c:v>0.16731095118015865</c:v>
                </c:pt>
                <c:pt idx="54">
                  <c:v>0.16767580547536662</c:v>
                </c:pt>
                <c:pt idx="55">
                  <c:v>0.1684244344302841</c:v>
                </c:pt>
                <c:pt idx="56">
                  <c:v>0.17009058198276697</c:v>
                </c:pt>
                <c:pt idx="57">
                  <c:v>0.17199042247719579</c:v>
                </c:pt>
                <c:pt idx="58">
                  <c:v>0.17257736065566709</c:v>
                </c:pt>
                <c:pt idx="59">
                  <c:v>0.17314929514615163</c:v>
                </c:pt>
                <c:pt idx="60">
                  <c:v>0.17384570014865186</c:v>
                </c:pt>
                <c:pt idx="61">
                  <c:v>0.17374128857527987</c:v>
                </c:pt>
                <c:pt idx="62">
                  <c:v>0.17518067947168958</c:v>
                </c:pt>
                <c:pt idx="63">
                  <c:v>0.17488936755242579</c:v>
                </c:pt>
              </c:numCache>
            </c:numRef>
          </c:yVal>
          <c:smooth val="1"/>
          <c:extLst>
            <c:ext xmlns:c16="http://schemas.microsoft.com/office/drawing/2014/chart" uri="{C3380CC4-5D6E-409C-BE32-E72D297353CC}">
              <c16:uniqueId val="{00000000-95F5-4C07-8FCA-8C9BBBE69CEC}"/>
            </c:ext>
          </c:extLst>
        </c:ser>
        <c:ser>
          <c:idx val="1"/>
          <c:order val="1"/>
          <c:tx>
            <c:strRef>
              <c:f>data!$EH$1</c:f>
              <c:strCache>
                <c:ptCount val="1"/>
              </c:strCache>
            </c:strRef>
          </c:tx>
          <c:spPr>
            <a:ln w="19050" cap="rnd">
              <a:solidFill>
                <a:srgbClr val="FF00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data!$EH$6:$EH$156</c:f>
              <c:numCache>
                <c:formatCode>General</c:formatCode>
                <c:ptCount val="151"/>
                <c:pt idx="63">
                  <c:v>0.17488936755242579</c:v>
                </c:pt>
                <c:pt idx="64">
                  <c:v>0.17488936755242579</c:v>
                </c:pt>
                <c:pt idx="65">
                  <c:v>0.17488936755242579</c:v>
                </c:pt>
                <c:pt idx="66">
                  <c:v>0.17488936755242579</c:v>
                </c:pt>
                <c:pt idx="67">
                  <c:v>0.17488936755242579</c:v>
                </c:pt>
                <c:pt idx="68">
                  <c:v>0.17488936755242579</c:v>
                </c:pt>
                <c:pt idx="69">
                  <c:v>0.17488936755242579</c:v>
                </c:pt>
                <c:pt idx="70">
                  <c:v>0.17488936755242579</c:v>
                </c:pt>
                <c:pt idx="71">
                  <c:v>0.17488936755242579</c:v>
                </c:pt>
                <c:pt idx="72">
                  <c:v>0.16990045941570842</c:v>
                </c:pt>
                <c:pt idx="73">
                  <c:v>0.16491155127899104</c:v>
                </c:pt>
                <c:pt idx="74">
                  <c:v>0.15992264314227367</c:v>
                </c:pt>
                <c:pt idx="75">
                  <c:v>0.15493373500555629</c:v>
                </c:pt>
                <c:pt idx="76">
                  <c:v>0.14994482686883892</c:v>
                </c:pt>
                <c:pt idx="77">
                  <c:v>0.14495591873212155</c:v>
                </c:pt>
                <c:pt idx="78">
                  <c:v>0.1399670105954042</c:v>
                </c:pt>
                <c:pt idx="79">
                  <c:v>0.13497810245868683</c:v>
                </c:pt>
                <c:pt idx="80">
                  <c:v>0.12998919432196945</c:v>
                </c:pt>
                <c:pt idx="81">
                  <c:v>0.12500028618525208</c:v>
                </c:pt>
                <c:pt idx="82">
                  <c:v>0.12001137804853471</c:v>
                </c:pt>
                <c:pt idx="83">
                  <c:v>0.11502246991181733</c:v>
                </c:pt>
                <c:pt idx="84">
                  <c:v>0.11003356177509997</c:v>
                </c:pt>
                <c:pt idx="85">
                  <c:v>0.1050446536383826</c:v>
                </c:pt>
                <c:pt idx="86">
                  <c:v>0.10005574550166522</c:v>
                </c:pt>
                <c:pt idx="87">
                  <c:v>9.5066837364947851E-2</c:v>
                </c:pt>
                <c:pt idx="88">
                  <c:v>9.0077929228230477E-2</c:v>
                </c:pt>
                <c:pt idx="89">
                  <c:v>8.5089021091513103E-2</c:v>
                </c:pt>
                <c:pt idx="90">
                  <c:v>8.0100112954795744E-2</c:v>
                </c:pt>
                <c:pt idx="91">
                  <c:v>7.511120481807837E-2</c:v>
                </c:pt>
                <c:pt idx="92">
                  <c:v>7.0122296681360996E-2</c:v>
                </c:pt>
                <c:pt idx="93">
                  <c:v>6.5133388544643622E-2</c:v>
                </c:pt>
                <c:pt idx="94">
                  <c:v>6.0144480407926248E-2</c:v>
                </c:pt>
                <c:pt idx="95">
                  <c:v>5.5155572271208875E-2</c:v>
                </c:pt>
                <c:pt idx="96">
                  <c:v>5.0166664134491515E-2</c:v>
                </c:pt>
                <c:pt idx="97">
                  <c:v>4.5177755997774155E-2</c:v>
                </c:pt>
                <c:pt idx="98">
                  <c:v>4.0188847861056781E-2</c:v>
                </c:pt>
                <c:pt idx="99">
                  <c:v>3.5199939724339407E-2</c:v>
                </c:pt>
                <c:pt idx="100">
                  <c:v>3.0211031587622034E-2</c:v>
                </c:pt>
                <c:pt idx="101">
                  <c:v>2.522212345090466E-2</c:v>
                </c:pt>
                <c:pt idx="102">
                  <c:v>2.522212345090466E-2</c:v>
                </c:pt>
                <c:pt idx="103">
                  <c:v>2.522212345090466E-2</c:v>
                </c:pt>
                <c:pt idx="104">
                  <c:v>2.522212345090466E-2</c:v>
                </c:pt>
                <c:pt idx="105">
                  <c:v>2.522212345090466E-2</c:v>
                </c:pt>
                <c:pt idx="106">
                  <c:v>2.522212345090466E-2</c:v>
                </c:pt>
                <c:pt idx="107">
                  <c:v>2.522212345090466E-2</c:v>
                </c:pt>
                <c:pt idx="108">
                  <c:v>2.522212345090466E-2</c:v>
                </c:pt>
                <c:pt idx="109">
                  <c:v>2.522212345090466E-2</c:v>
                </c:pt>
                <c:pt idx="110">
                  <c:v>2.522212345090466E-2</c:v>
                </c:pt>
                <c:pt idx="111">
                  <c:v>2.522212345090466E-2</c:v>
                </c:pt>
                <c:pt idx="112">
                  <c:v>2.522212345090466E-2</c:v>
                </c:pt>
                <c:pt idx="113">
                  <c:v>2.522212345090466E-2</c:v>
                </c:pt>
                <c:pt idx="114">
                  <c:v>2.522212345090466E-2</c:v>
                </c:pt>
                <c:pt idx="115">
                  <c:v>2.522212345090466E-2</c:v>
                </c:pt>
                <c:pt idx="116">
                  <c:v>2.522212345090466E-2</c:v>
                </c:pt>
                <c:pt idx="117">
                  <c:v>2.522212345090466E-2</c:v>
                </c:pt>
                <c:pt idx="118">
                  <c:v>2.522212345090466E-2</c:v>
                </c:pt>
                <c:pt idx="119">
                  <c:v>2.522212345090466E-2</c:v>
                </c:pt>
                <c:pt idx="120">
                  <c:v>2.522212345090466E-2</c:v>
                </c:pt>
                <c:pt idx="121">
                  <c:v>2.522212345090466E-2</c:v>
                </c:pt>
                <c:pt idx="122">
                  <c:v>2.522212345090466E-2</c:v>
                </c:pt>
                <c:pt idx="123">
                  <c:v>2.522212345090466E-2</c:v>
                </c:pt>
                <c:pt idx="124">
                  <c:v>2.522212345090466E-2</c:v>
                </c:pt>
                <c:pt idx="125">
                  <c:v>2.522212345090466E-2</c:v>
                </c:pt>
                <c:pt idx="126">
                  <c:v>2.522212345090466E-2</c:v>
                </c:pt>
                <c:pt idx="127">
                  <c:v>2.522212345090466E-2</c:v>
                </c:pt>
                <c:pt idx="128">
                  <c:v>2.522212345090466E-2</c:v>
                </c:pt>
                <c:pt idx="129">
                  <c:v>2.522212345090466E-2</c:v>
                </c:pt>
                <c:pt idx="130">
                  <c:v>2.522212345090466E-2</c:v>
                </c:pt>
                <c:pt idx="131">
                  <c:v>2.522212345090466E-2</c:v>
                </c:pt>
                <c:pt idx="132">
                  <c:v>2.522212345090466E-2</c:v>
                </c:pt>
                <c:pt idx="133">
                  <c:v>2.522212345090466E-2</c:v>
                </c:pt>
                <c:pt idx="134">
                  <c:v>2.522212345090466E-2</c:v>
                </c:pt>
                <c:pt idx="135">
                  <c:v>2.522212345090466E-2</c:v>
                </c:pt>
                <c:pt idx="136">
                  <c:v>2.522212345090466E-2</c:v>
                </c:pt>
                <c:pt idx="137">
                  <c:v>2.522212345090466E-2</c:v>
                </c:pt>
                <c:pt idx="138">
                  <c:v>2.522212345090466E-2</c:v>
                </c:pt>
                <c:pt idx="139">
                  <c:v>2.522212345090466E-2</c:v>
                </c:pt>
                <c:pt idx="140">
                  <c:v>2.522212345090466E-2</c:v>
                </c:pt>
                <c:pt idx="141">
                  <c:v>2.522212345090466E-2</c:v>
                </c:pt>
                <c:pt idx="142">
                  <c:v>2.522212345090466E-2</c:v>
                </c:pt>
                <c:pt idx="143">
                  <c:v>2.522212345090466E-2</c:v>
                </c:pt>
                <c:pt idx="144">
                  <c:v>2.522212345090466E-2</c:v>
                </c:pt>
                <c:pt idx="145">
                  <c:v>2.522212345090466E-2</c:v>
                </c:pt>
                <c:pt idx="146">
                  <c:v>2.522212345090466E-2</c:v>
                </c:pt>
                <c:pt idx="147">
                  <c:v>2.522212345090466E-2</c:v>
                </c:pt>
                <c:pt idx="148">
                  <c:v>2.522212345090466E-2</c:v>
                </c:pt>
                <c:pt idx="149">
                  <c:v>2.522212345090466E-2</c:v>
                </c:pt>
                <c:pt idx="150">
                  <c:v>2.522212345090466E-2</c:v>
                </c:pt>
              </c:numCache>
            </c:numRef>
          </c:yVal>
          <c:smooth val="1"/>
          <c:extLst>
            <c:ext xmlns:c16="http://schemas.microsoft.com/office/drawing/2014/chart" uri="{C3380CC4-5D6E-409C-BE32-E72D297353CC}">
              <c16:uniqueId val="{00000001-95F5-4C07-8FCA-8C9BBBE69CEC}"/>
            </c:ext>
          </c:extLst>
        </c:ser>
        <c:ser>
          <c:idx val="2"/>
          <c:order val="2"/>
          <c:tx>
            <c:strRef>
              <c:f>data!$EJ$1</c:f>
              <c:strCache>
                <c:ptCount val="1"/>
              </c:strCache>
            </c:strRef>
          </c:tx>
          <c:spPr>
            <a:ln w="19050" cap="rnd">
              <a:solidFill>
                <a:srgbClr val="0000FF"/>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data!$EJ$6:$EJ$156</c:f>
              <c:numCache>
                <c:formatCode>General</c:formatCode>
                <c:ptCount val="151"/>
                <c:pt idx="11">
                  <c:v>0.323292469352014</c:v>
                </c:pt>
                <c:pt idx="12">
                  <c:v>0.31972555746140652</c:v>
                </c:pt>
                <c:pt idx="13">
                  <c:v>0.32424974129010004</c:v>
                </c:pt>
                <c:pt idx="14">
                  <c:v>0.31612470667113646</c:v>
                </c:pt>
                <c:pt idx="15">
                  <c:v>0.3147410358565737</c:v>
                </c:pt>
                <c:pt idx="16">
                  <c:v>0.31374501992031872</c:v>
                </c:pt>
                <c:pt idx="17">
                  <c:v>0.32157123834886819</c:v>
                </c:pt>
                <c:pt idx="18">
                  <c:v>0.32331809274983669</c:v>
                </c:pt>
                <c:pt idx="19">
                  <c:v>0.3276372001314492</c:v>
                </c:pt>
                <c:pt idx="20">
                  <c:v>0.33150596581747821</c:v>
                </c:pt>
                <c:pt idx="21">
                  <c:v>0.32872306207783852</c:v>
                </c:pt>
                <c:pt idx="22">
                  <c:v>0.33693923003499843</c:v>
                </c:pt>
                <c:pt idx="23">
                  <c:v>0.32733017377567142</c:v>
                </c:pt>
                <c:pt idx="24">
                  <c:v>0.33311897106109323</c:v>
                </c:pt>
                <c:pt idx="25">
                  <c:v>0.33547145606157791</c:v>
                </c:pt>
                <c:pt idx="26">
                  <c:v>0.33354231974921628</c:v>
                </c:pt>
                <c:pt idx="27">
                  <c:v>0.33206106870229007</c:v>
                </c:pt>
                <c:pt idx="28">
                  <c:v>0.33763044812768572</c:v>
                </c:pt>
                <c:pt idx="29">
                  <c:v>0.34115853658536588</c:v>
                </c:pt>
                <c:pt idx="30">
                  <c:v>0.33770591824283097</c:v>
                </c:pt>
                <c:pt idx="31">
                  <c:v>0.33547204399633362</c:v>
                </c:pt>
                <c:pt idx="32">
                  <c:v>0.33682948756367997</c:v>
                </c:pt>
                <c:pt idx="33">
                  <c:v>0.35050325636471286</c:v>
                </c:pt>
                <c:pt idx="34">
                  <c:v>0.35004423473901503</c:v>
                </c:pt>
                <c:pt idx="35">
                  <c:v>0.34794040315512709</c:v>
                </c:pt>
                <c:pt idx="36">
                  <c:v>0.33499706400469759</c:v>
                </c:pt>
                <c:pt idx="37">
                  <c:v>0.33648728562980484</c:v>
                </c:pt>
                <c:pt idx="38">
                  <c:v>0.33196239717978848</c:v>
                </c:pt>
                <c:pt idx="39">
                  <c:v>0.33294152218630618</c:v>
                </c:pt>
                <c:pt idx="40">
                  <c:v>0.3462128181539405</c:v>
                </c:pt>
                <c:pt idx="41">
                  <c:v>0.32320192597050856</c:v>
                </c:pt>
                <c:pt idx="42">
                  <c:v>0.32547169811320753</c:v>
                </c:pt>
                <c:pt idx="43">
                  <c:v>0.31792629606495942</c:v>
                </c:pt>
                <c:pt idx="44">
                  <c:v>0.32150638032990975</c:v>
                </c:pt>
                <c:pt idx="45">
                  <c:v>0.31640504770698674</c:v>
                </c:pt>
                <c:pt idx="46">
                  <c:v>0.31725811343645738</c:v>
                </c:pt>
                <c:pt idx="47">
                  <c:v>0.32241813602015112</c:v>
                </c:pt>
                <c:pt idx="48">
                  <c:v>0.31780821917808222</c:v>
                </c:pt>
                <c:pt idx="49">
                  <c:v>0.31564501372369624</c:v>
                </c:pt>
                <c:pt idx="50">
                  <c:v>0.30335731414868106</c:v>
                </c:pt>
                <c:pt idx="51">
                  <c:v>0.30597680642283676</c:v>
                </c:pt>
                <c:pt idx="52">
                  <c:v>0.30580682812955939</c:v>
                </c:pt>
                <c:pt idx="53">
                  <c:v>0.31356932153392331</c:v>
                </c:pt>
                <c:pt idx="54">
                  <c:v>0.30401641747288183</c:v>
                </c:pt>
                <c:pt idx="55">
                  <c:v>0.3034782608695652</c:v>
                </c:pt>
                <c:pt idx="56">
                  <c:v>0.30150028851702249</c:v>
                </c:pt>
                <c:pt idx="57">
                  <c:v>0.30734335129004819</c:v>
                </c:pt>
                <c:pt idx="58">
                  <c:v>0.30167756610747798</c:v>
                </c:pt>
                <c:pt idx="59">
                  <c:v>0.30554765291607394</c:v>
                </c:pt>
                <c:pt idx="60">
                  <c:v>0.3079337899543379</c:v>
                </c:pt>
                <c:pt idx="61">
                  <c:v>0.30808366308648955</c:v>
                </c:pt>
                <c:pt idx="62">
                  <c:v>0.30305626963724652</c:v>
                </c:pt>
                <c:pt idx="63">
                  <c:v>0.29837096313232353</c:v>
                </c:pt>
              </c:numCache>
            </c:numRef>
          </c:yVal>
          <c:smooth val="1"/>
          <c:extLst>
            <c:ext xmlns:c16="http://schemas.microsoft.com/office/drawing/2014/chart" uri="{C3380CC4-5D6E-409C-BE32-E72D297353CC}">
              <c16:uniqueId val="{00000002-95F5-4C07-8FCA-8C9BBBE69CEC}"/>
            </c:ext>
          </c:extLst>
        </c:ser>
        <c:ser>
          <c:idx val="3"/>
          <c:order val="3"/>
          <c:tx>
            <c:strRef>
              <c:f>data!$EK$1</c:f>
              <c:strCache>
                <c:ptCount val="1"/>
              </c:strCache>
            </c:strRef>
          </c:tx>
          <c:spPr>
            <a:ln w="19050" cap="rnd">
              <a:solidFill>
                <a:srgbClr val="FF99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data!$EK$6:$EK$156</c:f>
              <c:numCache>
                <c:formatCode>General</c:formatCode>
                <c:ptCount val="151"/>
                <c:pt idx="11">
                  <c:v>3.674911660777385E-2</c:v>
                </c:pt>
                <c:pt idx="12">
                  <c:v>3.9973787680209698E-2</c:v>
                </c:pt>
                <c:pt idx="13">
                  <c:v>5.3952321204516936E-2</c:v>
                </c:pt>
                <c:pt idx="14">
                  <c:v>6.1824729891956781E-2</c:v>
                </c:pt>
                <c:pt idx="15">
                  <c:v>6.2882582081246516E-2</c:v>
                </c:pt>
                <c:pt idx="16">
                  <c:v>6.3270777479892765E-2</c:v>
                </c:pt>
                <c:pt idx="17">
                  <c:v>6.6042927903137039E-2</c:v>
                </c:pt>
                <c:pt idx="18">
                  <c:v>6.5984072810011382E-2</c:v>
                </c:pt>
                <c:pt idx="19">
                  <c:v>6.3547082611207395E-2</c:v>
                </c:pt>
                <c:pt idx="20">
                  <c:v>5.8152173913043476E-2</c:v>
                </c:pt>
                <c:pt idx="21">
                  <c:v>6.3956639566395662E-2</c:v>
                </c:pt>
                <c:pt idx="22">
                  <c:v>7.0021881838074396E-2</c:v>
                </c:pt>
                <c:pt idx="23">
                  <c:v>6.5893516078017925E-2</c:v>
                </c:pt>
                <c:pt idx="24">
                  <c:v>6.6032752245113582E-2</c:v>
                </c:pt>
                <c:pt idx="25">
                  <c:v>6.6526977475117863E-2</c:v>
                </c:pt>
                <c:pt idx="26">
                  <c:v>6.5600000000000006E-2</c:v>
                </c:pt>
                <c:pt idx="27">
                  <c:v>6.4263322884012541E-2</c:v>
                </c:pt>
                <c:pt idx="28">
                  <c:v>6.3045586808923373E-2</c:v>
                </c:pt>
                <c:pt idx="29">
                  <c:v>7.2219547424169472E-2</c:v>
                </c:pt>
                <c:pt idx="30">
                  <c:v>7.6887232059645857E-2</c:v>
                </c:pt>
                <c:pt idx="31">
                  <c:v>7.763401109057301E-2</c:v>
                </c:pt>
                <c:pt idx="32">
                  <c:v>7.603092783505154E-2</c:v>
                </c:pt>
                <c:pt idx="33">
                  <c:v>7.5864943726552725E-2</c:v>
                </c:pt>
                <c:pt idx="34">
                  <c:v>8.138101109741061E-2</c:v>
                </c:pt>
                <c:pt idx="35">
                  <c:v>9.1395636064223962E-2</c:v>
                </c:pt>
                <c:pt idx="36">
                  <c:v>9.4884488448844881E-2</c:v>
                </c:pt>
                <c:pt idx="37">
                  <c:v>0.10004100041000411</c:v>
                </c:pt>
                <c:pt idx="38">
                  <c:v>0.10927152317880795</c:v>
                </c:pt>
                <c:pt idx="39">
                  <c:v>0.11356073211314476</c:v>
                </c:pt>
                <c:pt idx="40">
                  <c:v>0.11501597444089456</c:v>
                </c:pt>
                <c:pt idx="41">
                  <c:v>0.1262854792266557</c:v>
                </c:pt>
                <c:pt idx="42">
                  <c:v>0.13477198697068404</c:v>
                </c:pt>
                <c:pt idx="43">
                  <c:v>0.13947990543735225</c:v>
                </c:pt>
                <c:pt idx="44">
                  <c:v>0.14976958525345621</c:v>
                </c:pt>
                <c:pt idx="45">
                  <c:v>0.15458937198067632</c:v>
                </c:pt>
                <c:pt idx="46">
                  <c:v>0.15881261595547311</c:v>
                </c:pt>
                <c:pt idx="47">
                  <c:v>0.16220183486238532</c:v>
                </c:pt>
                <c:pt idx="48">
                  <c:v>0.17003610108303249</c:v>
                </c:pt>
                <c:pt idx="49">
                  <c:v>0.17661961635903003</c:v>
                </c:pt>
                <c:pt idx="50">
                  <c:v>0.18447293447293447</c:v>
                </c:pt>
                <c:pt idx="51">
                  <c:v>0.18394886363636365</c:v>
                </c:pt>
                <c:pt idx="52">
                  <c:v>0.18679378531073446</c:v>
                </c:pt>
                <c:pt idx="53">
                  <c:v>0.19625838333921639</c:v>
                </c:pt>
                <c:pt idx="54">
                  <c:v>0.19950997549877494</c:v>
                </c:pt>
                <c:pt idx="55">
                  <c:v>0.20354289683918028</c:v>
                </c:pt>
                <c:pt idx="56">
                  <c:v>0.21089143253555323</c:v>
                </c:pt>
                <c:pt idx="57">
                  <c:v>0.21479958890030831</c:v>
                </c:pt>
                <c:pt idx="58">
                  <c:v>0.21867651998656365</c:v>
                </c:pt>
                <c:pt idx="59">
                  <c:v>0.22311289245156982</c:v>
                </c:pt>
                <c:pt idx="60">
                  <c:v>0.22568988173455978</c:v>
                </c:pt>
                <c:pt idx="61">
                  <c:v>0.22395326192794549</c:v>
                </c:pt>
                <c:pt idx="62">
                  <c:v>0.23064516129032259</c:v>
                </c:pt>
                <c:pt idx="63">
                  <c:v>0.23294723294723294</c:v>
                </c:pt>
              </c:numCache>
            </c:numRef>
          </c:yVal>
          <c:smooth val="1"/>
          <c:extLst>
            <c:ext xmlns:c16="http://schemas.microsoft.com/office/drawing/2014/chart" uri="{C3380CC4-5D6E-409C-BE32-E72D297353CC}">
              <c16:uniqueId val="{00000003-95F5-4C07-8FCA-8C9BBBE69CEC}"/>
            </c:ext>
          </c:extLst>
        </c:ser>
        <c:ser>
          <c:idx val="4"/>
          <c:order val="4"/>
          <c:tx>
            <c:strRef>
              <c:f>data!$EL$1</c:f>
              <c:strCache>
                <c:ptCount val="1"/>
              </c:strCache>
            </c:strRef>
          </c:tx>
          <c:spPr>
            <a:ln w="19050" cap="rnd">
              <a:solidFill>
                <a:srgbClr val="00B05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data!$EL$6:$EL$156</c:f>
              <c:numCache>
                <c:formatCode>General</c:formatCode>
                <c:ptCount val="151"/>
                <c:pt idx="11">
                  <c:v>5.5721393034825872E-2</c:v>
                </c:pt>
                <c:pt idx="12">
                  <c:v>5.4093567251461985E-2</c:v>
                </c:pt>
                <c:pt idx="13">
                  <c:v>5.5245818550430814E-2</c:v>
                </c:pt>
                <c:pt idx="14">
                  <c:v>5.3634085213032583E-2</c:v>
                </c:pt>
                <c:pt idx="15">
                  <c:v>5.3340238218539615E-2</c:v>
                </c:pt>
                <c:pt idx="16">
                  <c:v>5.4151624548736461E-2</c:v>
                </c:pt>
                <c:pt idx="17">
                  <c:v>5.0226017076845805E-2</c:v>
                </c:pt>
                <c:pt idx="18">
                  <c:v>5.2238805970149252E-2</c:v>
                </c:pt>
                <c:pt idx="19">
                  <c:v>5.2062868369351673E-2</c:v>
                </c:pt>
                <c:pt idx="20">
                  <c:v>4.7844623401231641E-2</c:v>
                </c:pt>
                <c:pt idx="21">
                  <c:v>5.3768844221105526E-2</c:v>
                </c:pt>
                <c:pt idx="22">
                  <c:v>5.3400503778337528E-2</c:v>
                </c:pt>
                <c:pt idx="23">
                  <c:v>5.1808406647116327E-2</c:v>
                </c:pt>
                <c:pt idx="24">
                  <c:v>5.6759545923632609E-2</c:v>
                </c:pt>
                <c:pt idx="25">
                  <c:v>5.2912621359223304E-2</c:v>
                </c:pt>
                <c:pt idx="26">
                  <c:v>5.8762350494019761E-2</c:v>
                </c:pt>
                <c:pt idx="27">
                  <c:v>5.3656220322886992E-2</c:v>
                </c:pt>
                <c:pt idx="28">
                  <c:v>5.2141527001862198E-2</c:v>
                </c:pt>
                <c:pt idx="29">
                  <c:v>5.6790123456790124E-2</c:v>
                </c:pt>
                <c:pt idx="30">
                  <c:v>5.8174523570712136E-2</c:v>
                </c:pt>
                <c:pt idx="31">
                  <c:v>5.9824902723735411E-2</c:v>
                </c:pt>
                <c:pt idx="32">
                  <c:v>6.4563824544110401E-2</c:v>
                </c:pt>
                <c:pt idx="33">
                  <c:v>6.25E-2</c:v>
                </c:pt>
                <c:pt idx="34">
                  <c:v>6.5914221218961622E-2</c:v>
                </c:pt>
                <c:pt idx="35">
                  <c:v>6.9972196478220575E-2</c:v>
                </c:pt>
                <c:pt idx="36">
                  <c:v>7.1296296296296302E-2</c:v>
                </c:pt>
                <c:pt idx="37">
                  <c:v>7.0409572020248501E-2</c:v>
                </c:pt>
                <c:pt idx="38">
                  <c:v>6.6783831282952552E-2</c:v>
                </c:pt>
                <c:pt idx="39">
                  <c:v>6.6751161808196027E-2</c:v>
                </c:pt>
                <c:pt idx="40">
                  <c:v>7.1655328798185938E-2</c:v>
                </c:pt>
                <c:pt idx="41">
                  <c:v>6.7479320853286895E-2</c:v>
                </c:pt>
                <c:pt idx="42">
                  <c:v>6.8152593227603947E-2</c:v>
                </c:pt>
                <c:pt idx="43">
                  <c:v>7.1397091229616572E-2</c:v>
                </c:pt>
                <c:pt idx="44">
                  <c:v>7.1989528795811525E-2</c:v>
                </c:pt>
                <c:pt idx="45">
                  <c:v>7.4440619621342519E-2</c:v>
                </c:pt>
                <c:pt idx="46">
                  <c:v>7.5085324232081918E-2</c:v>
                </c:pt>
                <c:pt idx="47">
                  <c:v>7.5137188687209797E-2</c:v>
                </c:pt>
                <c:pt idx="48">
                  <c:v>7.6662431173231682E-2</c:v>
                </c:pt>
                <c:pt idx="49">
                  <c:v>7.7147623019182654E-2</c:v>
                </c:pt>
                <c:pt idx="50">
                  <c:v>7.6470588235294124E-2</c:v>
                </c:pt>
                <c:pt idx="51">
                  <c:v>7.8439777111015865E-2</c:v>
                </c:pt>
                <c:pt idx="52">
                  <c:v>7.9649890590809624E-2</c:v>
                </c:pt>
                <c:pt idx="53">
                  <c:v>8.0192813321647682E-2</c:v>
                </c:pt>
                <c:pt idx="54">
                  <c:v>8.3333333333333329E-2</c:v>
                </c:pt>
                <c:pt idx="55">
                  <c:v>8.4581497797356825E-2</c:v>
                </c:pt>
                <c:pt idx="56">
                  <c:v>8.5261353898886033E-2</c:v>
                </c:pt>
                <c:pt idx="57">
                  <c:v>8.7499999999999994E-2</c:v>
                </c:pt>
                <c:pt idx="58">
                  <c:v>8.8586732591676973E-2</c:v>
                </c:pt>
                <c:pt idx="59">
                  <c:v>9.1097308488612833E-2</c:v>
                </c:pt>
                <c:pt idx="60">
                  <c:v>9.2137592137592136E-2</c:v>
                </c:pt>
                <c:pt idx="61">
                  <c:v>9.4501018329938902E-2</c:v>
                </c:pt>
                <c:pt idx="62">
                  <c:v>9.6919917864476388E-2</c:v>
                </c:pt>
                <c:pt idx="63">
                  <c:v>9.5567303782025215E-2</c:v>
                </c:pt>
              </c:numCache>
            </c:numRef>
          </c:yVal>
          <c:smooth val="1"/>
          <c:extLst>
            <c:ext xmlns:c16="http://schemas.microsoft.com/office/drawing/2014/chart" uri="{C3380CC4-5D6E-409C-BE32-E72D297353CC}">
              <c16:uniqueId val="{00000004-95F5-4C07-8FCA-8C9BBBE69CEC}"/>
            </c:ext>
          </c:extLst>
        </c:ser>
        <c:ser>
          <c:idx val="5"/>
          <c:order val="5"/>
          <c:tx>
            <c:strRef>
              <c:f>data!$EM$1</c:f>
              <c:strCache>
                <c:ptCount val="1"/>
              </c:strCache>
            </c:strRef>
          </c:tx>
          <c:spPr>
            <a:ln w="19050" cap="rnd">
              <a:solidFill>
                <a:srgbClr val="FF00FF"/>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data!$EM$6:$EM$156</c:f>
              <c:numCache>
                <c:formatCode>General</c:formatCode>
                <c:ptCount val="151"/>
                <c:pt idx="11">
                  <c:v>0.35069444444444442</c:v>
                </c:pt>
                <c:pt idx="12">
                  <c:v>0.35094471658502452</c:v>
                </c:pt>
                <c:pt idx="13">
                  <c:v>0.35104895104895106</c:v>
                </c:pt>
                <c:pt idx="14">
                  <c:v>0.34620642515379357</c:v>
                </c:pt>
                <c:pt idx="15">
                  <c:v>0.34394250513347024</c:v>
                </c:pt>
                <c:pt idx="16">
                  <c:v>0.33920108327691267</c:v>
                </c:pt>
                <c:pt idx="17">
                  <c:v>0.33814640698455339</c:v>
                </c:pt>
                <c:pt idx="18">
                  <c:v>0.34021992669110296</c:v>
                </c:pt>
                <c:pt idx="19">
                  <c:v>0.32344213649851633</c:v>
                </c:pt>
                <c:pt idx="20">
                  <c:v>0.32353912182238365</c:v>
                </c:pt>
                <c:pt idx="21">
                  <c:v>0.32634338138925295</c:v>
                </c:pt>
                <c:pt idx="22">
                  <c:v>0.3239712606139778</c:v>
                </c:pt>
                <c:pt idx="23">
                  <c:v>0.30855263157894736</c:v>
                </c:pt>
                <c:pt idx="24">
                  <c:v>0.31309798746288353</c:v>
                </c:pt>
                <c:pt idx="25">
                  <c:v>0.29970326409495551</c:v>
                </c:pt>
                <c:pt idx="26">
                  <c:v>0.29781852671514386</c:v>
                </c:pt>
                <c:pt idx="27">
                  <c:v>0.30143540669856461</c:v>
                </c:pt>
                <c:pt idx="28">
                  <c:v>0.29984152139461173</c:v>
                </c:pt>
                <c:pt idx="29">
                  <c:v>0.29744866210329807</c:v>
                </c:pt>
                <c:pt idx="30">
                  <c:v>0.30396475770925108</c:v>
                </c:pt>
                <c:pt idx="31">
                  <c:v>0.29863269111249224</c:v>
                </c:pt>
                <c:pt idx="32">
                  <c:v>0.29583202757756188</c:v>
                </c:pt>
                <c:pt idx="33">
                  <c:v>0.30309597523219817</c:v>
                </c:pt>
                <c:pt idx="34">
                  <c:v>0.30259541984732824</c:v>
                </c:pt>
                <c:pt idx="35">
                  <c:v>0.30088757396449706</c:v>
                </c:pt>
                <c:pt idx="36">
                  <c:v>0.29922434367541767</c:v>
                </c:pt>
                <c:pt idx="37">
                  <c:v>0.28985507246376813</c:v>
                </c:pt>
                <c:pt idx="38">
                  <c:v>0.28629265471370735</c:v>
                </c:pt>
                <c:pt idx="39">
                  <c:v>0.28342557529857265</c:v>
                </c:pt>
                <c:pt idx="40">
                  <c:v>0.27741196679072433</c:v>
                </c:pt>
                <c:pt idx="41">
                  <c:v>0.27796706416808631</c:v>
                </c:pt>
                <c:pt idx="42">
                  <c:v>0.28153975835908962</c:v>
                </c:pt>
                <c:pt idx="43">
                  <c:v>0.27739251040221913</c:v>
                </c:pt>
                <c:pt idx="44">
                  <c:v>0.28049113233287859</c:v>
                </c:pt>
                <c:pt idx="45">
                  <c:v>0.27849162011173184</c:v>
                </c:pt>
                <c:pt idx="46">
                  <c:v>0.27320880959018679</c:v>
                </c:pt>
                <c:pt idx="47">
                  <c:v>0.26864035087719296</c:v>
                </c:pt>
                <c:pt idx="48">
                  <c:v>0.27419354838709675</c:v>
                </c:pt>
                <c:pt idx="49">
                  <c:v>0.27906343588347399</c:v>
                </c:pt>
                <c:pt idx="50">
                  <c:v>0.27296937416777628</c:v>
                </c:pt>
                <c:pt idx="51">
                  <c:v>0.27299703264094954</c:v>
                </c:pt>
                <c:pt idx="52">
                  <c:v>0.27438540840602699</c:v>
                </c:pt>
                <c:pt idx="53">
                  <c:v>0.27588032830288589</c:v>
                </c:pt>
                <c:pt idx="54">
                  <c:v>0.27330007876082962</c:v>
                </c:pt>
                <c:pt idx="55">
                  <c:v>0.27481713688610243</c:v>
                </c:pt>
                <c:pt idx="56">
                  <c:v>0.27702881311128735</c:v>
                </c:pt>
                <c:pt idx="57">
                  <c:v>0.27575192973116847</c:v>
                </c:pt>
                <c:pt idx="58">
                  <c:v>0.2743243243243243</c:v>
                </c:pt>
                <c:pt idx="59">
                  <c:v>0.27434842249657065</c:v>
                </c:pt>
                <c:pt idx="60">
                  <c:v>0.27369863013698631</c:v>
                </c:pt>
                <c:pt idx="61">
                  <c:v>0.26856673061112635</c:v>
                </c:pt>
                <c:pt idx="62">
                  <c:v>0.26742609167344727</c:v>
                </c:pt>
                <c:pt idx="63">
                  <c:v>0.26724606192286798</c:v>
                </c:pt>
              </c:numCache>
            </c:numRef>
          </c:yVal>
          <c:smooth val="1"/>
          <c:extLst>
            <c:ext xmlns:c16="http://schemas.microsoft.com/office/drawing/2014/chart" uri="{C3380CC4-5D6E-409C-BE32-E72D297353CC}">
              <c16:uniqueId val="{00000005-95F5-4C07-8FCA-8C9BBBE69CEC}"/>
            </c:ext>
          </c:extLst>
        </c:ser>
        <c:dLbls>
          <c:showLegendKey val="0"/>
          <c:showVal val="0"/>
          <c:showCatName val="0"/>
          <c:showSerName val="0"/>
          <c:showPercent val="0"/>
          <c:showBubbleSize val="0"/>
        </c:dLbls>
        <c:axId val="407644936"/>
        <c:axId val="407641800"/>
      </c:scatterChart>
      <c:valAx>
        <c:axId val="407644936"/>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7641800"/>
        <c:crosses val="autoZero"/>
        <c:crossBetween val="midCat"/>
        <c:majorUnit val="50"/>
      </c:valAx>
      <c:valAx>
        <c:axId val="407641800"/>
        <c:scaling>
          <c:orientation val="minMax"/>
          <c:max val="0.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76449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texts!$A$121</c:f>
          <c:strCache>
            <c:ptCount val="1"/>
            <c:pt idx="0">
              <c:v>substitution rate</c:v>
            </c:pt>
          </c:strCache>
        </c:strRef>
      </c:tx>
      <c:layout>
        <c:manualLayout>
          <c:xMode val="edge"/>
          <c:yMode val="edge"/>
          <c:x val="0.1983031337950226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20739150338765794"/>
          <c:y val="0.13977589339794061"/>
          <c:w val="0.72613562839528778"/>
          <c:h val="0.71975368463557443"/>
        </c:manualLayout>
      </c:layout>
      <c:scatterChart>
        <c:scatterStyle val="smoothMarker"/>
        <c:varyColors val="0"/>
        <c:ser>
          <c:idx val="0"/>
          <c:order val="0"/>
          <c:tx>
            <c:strRef>
              <c:f>data!$AQ$1:$AQ$4</c:f>
              <c:strCache>
                <c:ptCount val="4"/>
                <c:pt idx="0">
                  <c:v>world energy consumption</c:v>
                </c:pt>
                <c:pt idx="1">
                  <c:v>substitution rate solar + wind</c:v>
                </c:pt>
                <c:pt idx="2">
                  <c:v>--</c:v>
                </c:pt>
                <c:pt idx="3">
                  <c:v>max</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data!$AQ$5:$AQ$156</c:f>
              <c:numCache>
                <c:formatCode>0.00E+00</c:formatCode>
                <c:ptCount val="152"/>
                <c:pt idx="0" formatCode="General">
                  <c:v>4.974933578166094E-3</c:v>
                </c:pt>
                <c:pt idx="1">
                  <c:v>9.9999999999999998E-13</c:v>
                </c:pt>
                <c:pt idx="2">
                  <c:v>9.9999999999999998E-13</c:v>
                </c:pt>
                <c:pt idx="3">
                  <c:v>9.9999999999999998E-13</c:v>
                </c:pt>
                <c:pt idx="4">
                  <c:v>9.9999999999999998E-13</c:v>
                </c:pt>
                <c:pt idx="5">
                  <c:v>9.9999999999999998E-13</c:v>
                </c:pt>
                <c:pt idx="6">
                  <c:v>9.9999999999999998E-13</c:v>
                </c:pt>
                <c:pt idx="7">
                  <c:v>9.9999999999999998E-13</c:v>
                </c:pt>
                <c:pt idx="8">
                  <c:v>9.9999999999999998E-13</c:v>
                </c:pt>
                <c:pt idx="9">
                  <c:v>9.9999999999999998E-13</c:v>
                </c:pt>
                <c:pt idx="10">
                  <c:v>9.9999999999999998E-13</c:v>
                </c:pt>
                <c:pt idx="11">
                  <c:v>9.9999999999999998E-13</c:v>
                </c:pt>
                <c:pt idx="12">
                  <c:v>9.9999999999999998E-13</c:v>
                </c:pt>
                <c:pt idx="13">
                  <c:v>9.9999999999999998E-13</c:v>
                </c:pt>
                <c:pt idx="14">
                  <c:v>9.9999999999999998E-13</c:v>
                </c:pt>
                <c:pt idx="15">
                  <c:v>9.9999999999999998E-13</c:v>
                </c:pt>
                <c:pt idx="16">
                  <c:v>9.9999999999999998E-13</c:v>
                </c:pt>
                <c:pt idx="17">
                  <c:v>9.9999999999999998E-13</c:v>
                </c:pt>
                <c:pt idx="18">
                  <c:v>9.9999999999999998E-13</c:v>
                </c:pt>
                <c:pt idx="19">
                  <c:v>9.9999999999999998E-13</c:v>
                </c:pt>
                <c:pt idx="20">
                  <c:v>9.9999999999999998E-13</c:v>
                </c:pt>
                <c:pt idx="21">
                  <c:v>9.9999999999999998E-13</c:v>
                </c:pt>
                <c:pt idx="22">
                  <c:v>9.9999999999999998E-13</c:v>
                </c:pt>
                <c:pt idx="23">
                  <c:v>9.9999999999999998E-13</c:v>
                </c:pt>
                <c:pt idx="24">
                  <c:v>9.9999999999999998E-13</c:v>
                </c:pt>
                <c:pt idx="25">
                  <c:v>9.9999999999999998E-13</c:v>
                </c:pt>
                <c:pt idx="26">
                  <c:v>9.9999999999999998E-13</c:v>
                </c:pt>
                <c:pt idx="27">
                  <c:v>9.9999999999999998E-13</c:v>
                </c:pt>
                <c:pt idx="28">
                  <c:v>9.9999999999999998E-13</c:v>
                </c:pt>
                <c:pt idx="29">
                  <c:v>9.9999999999999998E-13</c:v>
                </c:pt>
                <c:pt idx="30">
                  <c:v>9.9999999999999998E-13</c:v>
                </c:pt>
                <c:pt idx="31">
                  <c:v>9.9999999999999998E-13</c:v>
                </c:pt>
                <c:pt idx="32">
                  <c:v>9.9999999999999998E-13</c:v>
                </c:pt>
                <c:pt idx="33">
                  <c:v>9.9999999999999998E-13</c:v>
                </c:pt>
                <c:pt idx="34">
                  <c:v>9.9999999999999998E-13</c:v>
                </c:pt>
                <c:pt idx="35">
                  <c:v>9.9999999999999998E-13</c:v>
                </c:pt>
                <c:pt idx="36">
                  <c:v>9.9999999999999998E-13</c:v>
                </c:pt>
                <c:pt idx="37">
                  <c:v>9.9999999999999998E-13</c:v>
                </c:pt>
                <c:pt idx="38">
                  <c:v>9.9999999999999998E-13</c:v>
                </c:pt>
                <c:pt idx="39">
                  <c:v>9.9999999999999998E-13</c:v>
                </c:pt>
                <c:pt idx="40">
                  <c:v>9.9999999999999998E-13</c:v>
                </c:pt>
                <c:pt idx="41">
                  <c:v>9.9999999999999998E-13</c:v>
                </c:pt>
                <c:pt idx="42" formatCode="General">
                  <c:v>1.5821425291757777E-5</c:v>
                </c:pt>
                <c:pt idx="43" formatCode="General">
                  <c:v>1.6780709211154822E-5</c:v>
                </c:pt>
                <c:pt idx="44" formatCode="General">
                  <c:v>2.8739841648080278E-5</c:v>
                </c:pt>
                <c:pt idx="45" formatCode="General">
                  <c:v>3.9582907634635969E-5</c:v>
                </c:pt>
                <c:pt idx="46" formatCode="General">
                  <c:v>3.1165443930978231E-5</c:v>
                </c:pt>
                <c:pt idx="47" formatCode="General">
                  <c:v>2.5832250862235572E-5</c:v>
                </c:pt>
                <c:pt idx="48" formatCode="General">
                  <c:v>7.2729351882206127E-5</c:v>
                </c:pt>
                <c:pt idx="49" formatCode="General">
                  <c:v>1.0041283329081591E-4</c:v>
                </c:pt>
                <c:pt idx="50" formatCode="General">
                  <c:v>1.3334016417131643E-4</c:v>
                </c:pt>
                <c:pt idx="51" formatCode="General">
                  <c:v>2.5183489957271562E-4</c:v>
                </c:pt>
                <c:pt idx="52" formatCode="General">
                  <c:v>1.7345597762255427E-4</c:v>
                </c:pt>
                <c:pt idx="53" formatCode="General">
                  <c:v>3.3455555463006822E-4</c:v>
                </c:pt>
                <c:pt idx="54" formatCode="General">
                  <c:v>2.4990098892722364E-4</c:v>
                </c:pt>
                <c:pt idx="55" formatCode="General">
                  <c:v>4.9274681545688622E-4</c:v>
                </c:pt>
                <c:pt idx="56" formatCode="General">
                  <c:v>4.1896056348391834E-4</c:v>
                </c:pt>
                <c:pt idx="57" formatCode="General">
                  <c:v>6.1240836313390537E-4</c:v>
                </c:pt>
                <c:pt idx="58" formatCode="General">
                  <c:v>7.8014100472809165E-4</c:v>
                </c:pt>
                <c:pt idx="59" formatCode="General">
                  <c:v>1.0581917266274388E-3</c:v>
                </c:pt>
                <c:pt idx="60" formatCode="General">
                  <c:v>1.2493828338565062E-3</c:v>
                </c:pt>
                <c:pt idx="61" formatCode="General">
                  <c:v>1.4658082001928416E-3</c:v>
                </c:pt>
                <c:pt idx="62" formatCode="General">
                  <c:v>2.3081304416219528E-3</c:v>
                </c:pt>
                <c:pt idx="63" formatCode="General">
                  <c:v>2.2087099551170069E-3</c:v>
                </c:pt>
                <c:pt idx="64" formatCode="General">
                  <c:v>2.8203911025244002E-3</c:v>
                </c:pt>
                <c:pt idx="65" formatCode="General">
                  <c:v>2.1960169494116178E-3</c:v>
                </c:pt>
                <c:pt idx="66" formatCode="General">
                  <c:v>3.1599318091802791E-3</c:v>
                </c:pt>
                <c:pt idx="67" formatCode="General">
                  <c:v>3.3034551316692405E-3</c:v>
                </c:pt>
                <c:pt idx="68" formatCode="General">
                  <c:v>4.974933578166094E-3</c:v>
                </c:pt>
                <c:pt idx="69" formatCode="General">
                  <c:v>4.4566208694156355E-3</c:v>
                </c:pt>
              </c:numCache>
            </c:numRef>
          </c:yVal>
          <c:smooth val="1"/>
          <c:extLst>
            <c:ext xmlns:c16="http://schemas.microsoft.com/office/drawing/2014/chart" uri="{C3380CC4-5D6E-409C-BE32-E72D297353CC}">
              <c16:uniqueId val="{00000000-8634-4F8E-99BD-9DD2EC3D28C8}"/>
            </c:ext>
          </c:extLst>
        </c:ser>
        <c:ser>
          <c:idx val="1"/>
          <c:order val="1"/>
          <c:tx>
            <c:strRef>
              <c:f>data!$BY$1:$BY$4</c:f>
              <c:strCache>
                <c:ptCount val="4"/>
                <c:pt idx="0">
                  <c:v>world energy consumption</c:v>
                </c:pt>
                <c:pt idx="1">
                  <c:v>future substitution rate</c:v>
                </c:pt>
                <c:pt idx="2">
                  <c:v>--</c:v>
                </c:pt>
                <c:pt idx="3">
                  <c:v>DACCS established:</c:v>
                </c:pt>
              </c:strCache>
            </c:strRef>
          </c:tx>
          <c:spPr>
            <a:ln w="19050" cap="rnd">
              <a:solidFill>
                <a:schemeClr val="accent2"/>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data!$BY$5:$BY$156</c:f>
              <c:numCache>
                <c:formatCode>General</c:formatCode>
                <c:ptCount val="152"/>
                <c:pt idx="70" formatCode="0.00000">
                  <c:v>4.4500000000000008E-3</c:v>
                </c:pt>
                <c:pt idx="71" formatCode="0.00000">
                  <c:v>4.4499999999999991E-3</c:v>
                </c:pt>
                <c:pt idx="72" formatCode="0.00000">
                  <c:v>7.5976999779113963E-3</c:v>
                </c:pt>
                <c:pt idx="73" formatCode="0.00000">
                  <c:v>8.970768015483457E-3</c:v>
                </c:pt>
                <c:pt idx="74" formatCode="0.00000">
                  <c:v>1.0593502985860155E-2</c:v>
                </c:pt>
                <c:pt idx="75" formatCode="0.00000">
                  <c:v>1.251180848304223E-2</c:v>
                </c:pt>
                <c:pt idx="76" formatCode="0.00000">
                  <c:v>1.4780011473958982E-2</c:v>
                </c:pt>
                <c:pt idx="77" formatCode="0.00000">
                  <c:v>1.746247744523222E-2</c:v>
                </c:pt>
                <c:pt idx="78" formatCode="0.00000">
                  <c:v>2.0635556525138883E-2</c:v>
                </c:pt>
                <c:pt idx="79" formatCode="0.00000">
                  <c:v>2.43897398406921E-2</c:v>
                </c:pt>
                <c:pt idx="80" formatCode="0.00000">
                  <c:v>2.8832096633363245E-2</c:v>
                </c:pt>
                <c:pt idx="81" formatCode="0.00000">
                  <c:v>2.9986327406272422E-2</c:v>
                </c:pt>
                <c:pt idx="82" formatCode="0.00000">
                  <c:v>2.9986327406272398E-2</c:v>
                </c:pt>
                <c:pt idx="83" formatCode="0.00000">
                  <c:v>2.9986327406272401E-2</c:v>
                </c:pt>
                <c:pt idx="84" formatCode="0.00000">
                  <c:v>2.9986327406272426E-2</c:v>
                </c:pt>
                <c:pt idx="85" formatCode="0.00000">
                  <c:v>2.9986327406272405E-2</c:v>
                </c:pt>
                <c:pt idx="86" formatCode="0.00000">
                  <c:v>2.9986327406272401E-2</c:v>
                </c:pt>
                <c:pt idx="87" formatCode="0.00000">
                  <c:v>2.9986327406272419E-2</c:v>
                </c:pt>
                <c:pt idx="88" formatCode="0.00000">
                  <c:v>2.9986327406272398E-2</c:v>
                </c:pt>
                <c:pt idx="89" formatCode="0.00000">
                  <c:v>2.9986327406272422E-2</c:v>
                </c:pt>
                <c:pt idx="90" formatCode="0.00000">
                  <c:v>2.9986327406272408E-2</c:v>
                </c:pt>
                <c:pt idx="91" formatCode="0.00000">
                  <c:v>2.9986327406272398E-2</c:v>
                </c:pt>
                <c:pt idx="92" formatCode="0.00000">
                  <c:v>2.9986327406272408E-2</c:v>
                </c:pt>
                <c:pt idx="93" formatCode="0.00000">
                  <c:v>2.9986327406272374E-2</c:v>
                </c:pt>
                <c:pt idx="94" formatCode="0.00000">
                  <c:v>2.9986327406272436E-2</c:v>
                </c:pt>
                <c:pt idx="95" formatCode="0.00000">
                  <c:v>2.9986327406272422E-2</c:v>
                </c:pt>
                <c:pt idx="96" formatCode="0.00000">
                  <c:v>2.9986327406272453E-2</c:v>
                </c:pt>
                <c:pt idx="97" formatCode="0.00000">
                  <c:v>2.998632740627237E-2</c:v>
                </c:pt>
                <c:pt idx="98" formatCode="0.00000">
                  <c:v>2.9986327406272401E-2</c:v>
                </c:pt>
                <c:pt idx="99" formatCode="0.00000">
                  <c:v>2.9986327406272432E-2</c:v>
                </c:pt>
                <c:pt idx="100" formatCode="0.00000">
                  <c:v>2.9986327406272429E-2</c:v>
                </c:pt>
                <c:pt idx="101" formatCode="0.00000">
                  <c:v>2.9986327406272401E-2</c:v>
                </c:pt>
                <c:pt idx="102" formatCode="0.00000">
                  <c:v>2.9986327406272422E-2</c:v>
                </c:pt>
                <c:pt idx="103" formatCode="0.00000">
                  <c:v>2.9986327406272377E-2</c:v>
                </c:pt>
                <c:pt idx="104" formatCode="0.00000">
                  <c:v>9.9999999999999998E-13</c:v>
                </c:pt>
                <c:pt idx="105" formatCode="0.00000">
                  <c:v>9.9999999999999998E-13</c:v>
                </c:pt>
                <c:pt idx="106" formatCode="0.00000">
                  <c:v>9.9999999999999998E-13</c:v>
                </c:pt>
                <c:pt idx="107" formatCode="0.00000">
                  <c:v>9.9999999999999998E-13</c:v>
                </c:pt>
                <c:pt idx="108" formatCode="0.00000">
                  <c:v>9.9999999999999998E-13</c:v>
                </c:pt>
                <c:pt idx="109" formatCode="0.00000">
                  <c:v>9.9999999999999998E-13</c:v>
                </c:pt>
                <c:pt idx="110" formatCode="0.00000">
                  <c:v>9.9999999999999998E-13</c:v>
                </c:pt>
                <c:pt idx="111" formatCode="0.00000">
                  <c:v>9.9999999999999998E-13</c:v>
                </c:pt>
                <c:pt idx="112" formatCode="0.00000">
                  <c:v>9.9999999999999998E-13</c:v>
                </c:pt>
                <c:pt idx="113" formatCode="0.00000">
                  <c:v>9.9999999999999998E-13</c:v>
                </c:pt>
                <c:pt idx="114" formatCode="0.00000">
                  <c:v>9.9999999999999998E-13</c:v>
                </c:pt>
                <c:pt idx="115" formatCode="0.00000">
                  <c:v>9.9999999999999998E-13</c:v>
                </c:pt>
                <c:pt idx="116" formatCode="0.00000">
                  <c:v>9.9999999999999998E-13</c:v>
                </c:pt>
                <c:pt idx="117" formatCode="0.00000">
                  <c:v>9.9999999999999998E-13</c:v>
                </c:pt>
                <c:pt idx="118" formatCode="0.00000">
                  <c:v>9.9999999999999998E-13</c:v>
                </c:pt>
                <c:pt idx="119" formatCode="0.00000">
                  <c:v>9.9999999999999998E-13</c:v>
                </c:pt>
                <c:pt idx="120" formatCode="0.00000">
                  <c:v>9.9999999999999998E-13</c:v>
                </c:pt>
                <c:pt idx="121" formatCode="0.00000">
                  <c:v>9.9999999999999998E-13</c:v>
                </c:pt>
                <c:pt idx="122" formatCode="0.00000">
                  <c:v>9.9999999999999998E-13</c:v>
                </c:pt>
                <c:pt idx="123" formatCode="0.00000">
                  <c:v>9.9999999999999998E-13</c:v>
                </c:pt>
                <c:pt idx="124" formatCode="0.00000">
                  <c:v>9.9999999999999998E-13</c:v>
                </c:pt>
                <c:pt idx="125" formatCode="0.00000">
                  <c:v>9.9999999999999998E-13</c:v>
                </c:pt>
                <c:pt idx="126" formatCode="0.00000">
                  <c:v>9.9999999999999998E-13</c:v>
                </c:pt>
                <c:pt idx="127" formatCode="0.00000">
                  <c:v>9.9999999999999998E-13</c:v>
                </c:pt>
                <c:pt idx="128" formatCode="0.00000">
                  <c:v>9.9999999999999998E-13</c:v>
                </c:pt>
                <c:pt idx="129" formatCode="0.00000">
                  <c:v>9.9999999999999998E-13</c:v>
                </c:pt>
                <c:pt idx="130" formatCode="0.00000">
                  <c:v>9.9999999999999998E-13</c:v>
                </c:pt>
                <c:pt idx="131" formatCode="0.00000">
                  <c:v>9.9999999999999998E-13</c:v>
                </c:pt>
                <c:pt idx="132" formatCode="0.00000">
                  <c:v>9.9999999999999998E-13</c:v>
                </c:pt>
                <c:pt idx="133" formatCode="0.00000">
                  <c:v>9.9999999999999998E-13</c:v>
                </c:pt>
                <c:pt idx="134" formatCode="0.00000">
                  <c:v>9.9999999999999998E-13</c:v>
                </c:pt>
                <c:pt idx="135" formatCode="0.00000">
                  <c:v>9.9999999999999998E-13</c:v>
                </c:pt>
                <c:pt idx="136" formatCode="0.00000">
                  <c:v>9.9999999999999998E-13</c:v>
                </c:pt>
                <c:pt idx="137" formatCode="0.00000">
                  <c:v>9.9999999999999998E-13</c:v>
                </c:pt>
                <c:pt idx="138" formatCode="0.00000">
                  <c:v>9.9999999999999998E-13</c:v>
                </c:pt>
                <c:pt idx="139" formatCode="0.00000">
                  <c:v>9.9999999999999998E-13</c:v>
                </c:pt>
                <c:pt idx="140" formatCode="0.00000">
                  <c:v>9.9999999999999998E-13</c:v>
                </c:pt>
                <c:pt idx="141" formatCode="0.00000">
                  <c:v>9.9999999999999998E-13</c:v>
                </c:pt>
                <c:pt idx="142" formatCode="0.00000">
                  <c:v>9.9999999999999998E-13</c:v>
                </c:pt>
                <c:pt idx="143" formatCode="0.00000">
                  <c:v>9.9999999999999998E-13</c:v>
                </c:pt>
                <c:pt idx="144" formatCode="0.00000">
                  <c:v>9.9999999999999998E-13</c:v>
                </c:pt>
                <c:pt idx="145" formatCode="0.00000">
                  <c:v>9.9999999999999998E-13</c:v>
                </c:pt>
                <c:pt idx="146" formatCode="0.00000">
                  <c:v>9.9999999999999998E-13</c:v>
                </c:pt>
                <c:pt idx="147" formatCode="0.00000">
                  <c:v>9.9999999999999998E-13</c:v>
                </c:pt>
                <c:pt idx="148" formatCode="0.00000">
                  <c:v>9.9999999999999998E-13</c:v>
                </c:pt>
                <c:pt idx="149" formatCode="0.00000">
                  <c:v>9.9999999999999998E-13</c:v>
                </c:pt>
                <c:pt idx="150" formatCode="0.00000">
                  <c:v>9.9999999999999998E-13</c:v>
                </c:pt>
                <c:pt idx="151" formatCode="0.00000">
                  <c:v>9.9999999999999998E-13</c:v>
                </c:pt>
              </c:numCache>
            </c:numRef>
          </c:yVal>
          <c:smooth val="1"/>
          <c:extLst>
            <c:ext xmlns:c16="http://schemas.microsoft.com/office/drawing/2014/chart" uri="{C3380CC4-5D6E-409C-BE32-E72D297353CC}">
              <c16:uniqueId val="{00000001-8634-4F8E-99BD-9DD2EC3D28C8}"/>
            </c:ext>
          </c:extLst>
        </c:ser>
        <c:dLbls>
          <c:showLegendKey val="0"/>
          <c:showVal val="0"/>
          <c:showCatName val="0"/>
          <c:showSerName val="0"/>
          <c:showPercent val="0"/>
          <c:showBubbleSize val="0"/>
        </c:dLbls>
        <c:axId val="407644544"/>
        <c:axId val="407646504"/>
      </c:scatterChart>
      <c:valAx>
        <c:axId val="40764454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7646504"/>
        <c:crossesAt val="1.0000000000000004E-5"/>
        <c:crossBetween val="midCat"/>
        <c:majorUnit val="50"/>
      </c:valAx>
      <c:valAx>
        <c:axId val="407646504"/>
        <c:scaling>
          <c:logBase val="10"/>
          <c:orientation val="minMax"/>
          <c:max val="0.1"/>
          <c:min val="1.0000000000000004E-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4076445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2.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3</xdr:col>
          <xdr:colOff>0</xdr:colOff>
          <xdr:row>3</xdr:row>
          <xdr:rowOff>0</xdr:rowOff>
        </xdr:to>
        <xdr:sp macro="" textlink="">
          <xdr:nvSpPr>
            <xdr:cNvPr id="3103" name="ScrollBar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3</xdr:col>
          <xdr:colOff>0</xdr:colOff>
          <xdr:row>4</xdr:row>
          <xdr:rowOff>0</xdr:rowOff>
        </xdr:to>
        <xdr:sp macro="" textlink="">
          <xdr:nvSpPr>
            <xdr:cNvPr id="3104" name="ScrollBar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3</xdr:col>
          <xdr:colOff>0</xdr:colOff>
          <xdr:row>5</xdr:row>
          <xdr:rowOff>0</xdr:rowOff>
        </xdr:to>
        <xdr:sp macro="" textlink="">
          <xdr:nvSpPr>
            <xdr:cNvPr id="3106" name="ScrollBar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0</xdr:colOff>
          <xdr:row>6</xdr:row>
          <xdr:rowOff>0</xdr:rowOff>
        </xdr:to>
        <xdr:sp macro="" textlink="">
          <xdr:nvSpPr>
            <xdr:cNvPr id="3107" name="ScrollBar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3</xdr:col>
          <xdr:colOff>0</xdr:colOff>
          <xdr:row>7</xdr:row>
          <xdr:rowOff>0</xdr:rowOff>
        </xdr:to>
        <xdr:sp macro="" textlink="">
          <xdr:nvSpPr>
            <xdr:cNvPr id="3108" name="ScrollBar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3</xdr:col>
          <xdr:colOff>0</xdr:colOff>
          <xdr:row>8</xdr:row>
          <xdr:rowOff>0</xdr:rowOff>
        </xdr:to>
        <xdr:sp macro="" textlink="">
          <xdr:nvSpPr>
            <xdr:cNvPr id="3109" name="ScrollBar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3</xdr:col>
          <xdr:colOff>0</xdr:colOff>
          <xdr:row>9</xdr:row>
          <xdr:rowOff>0</xdr:rowOff>
        </xdr:to>
        <xdr:sp macro="" textlink="">
          <xdr:nvSpPr>
            <xdr:cNvPr id="3110" name="ScrollBar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0</xdr:colOff>
      <xdr:row>20</xdr:row>
      <xdr:rowOff>0</xdr:rowOff>
    </xdr:from>
    <xdr:to>
      <xdr:col>9</xdr:col>
      <xdr:colOff>482600</xdr:colOff>
      <xdr:row>29</xdr:row>
      <xdr:rowOff>0</xdr:rowOff>
    </xdr:to>
    <xdr:graphicFrame macro="">
      <xdr:nvGraphicFramePr>
        <xdr:cNvPr id="56" name="Diagramm 55">
          <a:extLst>
            <a:ext uri="{FF2B5EF4-FFF2-40B4-BE49-F238E27FC236}">
              <a16:creationId xmlns:a16="http://schemas.microsoft.com/office/drawing/2014/main" id="{00000000-0008-0000-00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3</xdr:col>
          <xdr:colOff>0</xdr:colOff>
          <xdr:row>11</xdr:row>
          <xdr:rowOff>0</xdr:rowOff>
        </xdr:to>
        <xdr:sp macro="" textlink="">
          <xdr:nvSpPr>
            <xdr:cNvPr id="3112" name="ScrollBar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3</xdr:col>
          <xdr:colOff>0</xdr:colOff>
          <xdr:row>12</xdr:row>
          <xdr:rowOff>0</xdr:rowOff>
        </xdr:to>
        <xdr:sp macro="" textlink="">
          <xdr:nvSpPr>
            <xdr:cNvPr id="3113" name="ScrollBar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3</xdr:col>
          <xdr:colOff>0</xdr:colOff>
          <xdr:row>14</xdr:row>
          <xdr:rowOff>0</xdr:rowOff>
        </xdr:to>
        <xdr:sp macro="" textlink="">
          <xdr:nvSpPr>
            <xdr:cNvPr id="3114" name="ScrollBar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0</xdr:colOff>
          <xdr:row>16</xdr:row>
          <xdr:rowOff>0</xdr:rowOff>
        </xdr:to>
        <xdr:sp macro="" textlink="">
          <xdr:nvSpPr>
            <xdr:cNvPr id="3115" name="ScrollBar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0</xdr:colOff>
          <xdr:row>15</xdr:row>
          <xdr:rowOff>0</xdr:rowOff>
        </xdr:to>
        <xdr:sp macro="" textlink="">
          <xdr:nvSpPr>
            <xdr:cNvPr id="3116" name="ScrollBar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0</xdr:colOff>
      <xdr:row>11</xdr:row>
      <xdr:rowOff>0</xdr:rowOff>
    </xdr:from>
    <xdr:to>
      <xdr:col>16</xdr:col>
      <xdr:colOff>0</xdr:colOff>
      <xdr:row>20</xdr:row>
      <xdr:rowOff>0</xdr:rowOff>
    </xdr:to>
    <xdr:graphicFrame macro="">
      <xdr:nvGraphicFramePr>
        <xdr:cNvPr id="63" name="Diagramm 62">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3</xdr:col>
          <xdr:colOff>0</xdr:colOff>
          <xdr:row>17</xdr:row>
          <xdr:rowOff>0</xdr:rowOff>
        </xdr:to>
        <xdr:sp macro="" textlink="">
          <xdr:nvSpPr>
            <xdr:cNvPr id="3117" name="ScrollBar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484673</xdr:colOff>
      <xdr:row>20</xdr:row>
      <xdr:rowOff>0</xdr:rowOff>
    </xdr:from>
    <xdr:to>
      <xdr:col>16</xdr:col>
      <xdr:colOff>0</xdr:colOff>
      <xdr:row>29</xdr:row>
      <xdr:rowOff>0</xdr:rowOff>
    </xdr:to>
    <xdr:graphicFrame macro="">
      <xdr:nvGraphicFramePr>
        <xdr:cNvPr id="65" name="Diagramm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485190</xdr:colOff>
      <xdr:row>20</xdr:row>
      <xdr:rowOff>0</xdr:rowOff>
    </xdr:from>
    <xdr:to>
      <xdr:col>16</xdr:col>
      <xdr:colOff>0</xdr:colOff>
      <xdr:row>29</xdr:row>
      <xdr:rowOff>0</xdr:rowOff>
    </xdr:to>
    <xdr:graphicFrame macro="">
      <xdr:nvGraphicFramePr>
        <xdr:cNvPr id="66" name="Diagramm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6</xdr:col>
      <xdr:colOff>0</xdr:colOff>
      <xdr:row>2</xdr:row>
      <xdr:rowOff>0</xdr:rowOff>
    </xdr:from>
    <xdr:to>
      <xdr:col>11</xdr:col>
      <xdr:colOff>0</xdr:colOff>
      <xdr:row>11</xdr:row>
      <xdr:rowOff>0</xdr:rowOff>
    </xdr:to>
    <xdr:graphicFrame macro="">
      <xdr:nvGraphicFramePr>
        <xdr:cNvPr id="67" name="Diagramm 66">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11</xdr:col>
      <xdr:colOff>0</xdr:colOff>
      <xdr:row>2</xdr:row>
      <xdr:rowOff>0</xdr:rowOff>
    </xdr:from>
    <xdr:to>
      <xdr:col>16</xdr:col>
      <xdr:colOff>0</xdr:colOff>
      <xdr:row>11</xdr:row>
      <xdr:rowOff>0</xdr:rowOff>
    </xdr:to>
    <xdr:graphicFrame macro="">
      <xdr:nvGraphicFramePr>
        <xdr:cNvPr id="68" name="Diagramm 67">
          <a:extLst>
            <a:ext uri="{FF2B5EF4-FFF2-40B4-BE49-F238E27FC236}">
              <a16:creationId xmlns:a16="http://schemas.microsoft.com/office/drawing/2014/main" id="{00000000-0008-0000-00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3</xdr:col>
          <xdr:colOff>0</xdr:colOff>
          <xdr:row>10</xdr:row>
          <xdr:rowOff>0</xdr:rowOff>
        </xdr:to>
        <xdr:sp macro="" textlink="">
          <xdr:nvSpPr>
            <xdr:cNvPr id="3118" name="ScrollBar1"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0</xdr:colOff>
          <xdr:row>13</xdr:row>
          <xdr:rowOff>0</xdr:rowOff>
        </xdr:to>
        <xdr:sp macro="" textlink="">
          <xdr:nvSpPr>
            <xdr:cNvPr id="3119" name="ScrollBar2"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0</xdr:colOff>
      <xdr:row>11</xdr:row>
      <xdr:rowOff>0</xdr:rowOff>
    </xdr:from>
    <xdr:to>
      <xdr:col>11</xdr:col>
      <xdr:colOff>0</xdr:colOff>
      <xdr:row>20</xdr:row>
      <xdr:rowOff>0</xdr:rowOff>
    </xdr:to>
    <xdr:graphicFrame macro="">
      <xdr:nvGraphicFramePr>
        <xdr:cNvPr id="25" name="Chart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0</xdr:colOff>
      <xdr:row>24</xdr:row>
      <xdr:rowOff>219074</xdr:rowOff>
    </xdr:from>
    <xdr:ext cx="3533775" cy="971551"/>
    <xdr:sp macro="" textlink="texts!A333">
      <xdr:nvSpPr>
        <xdr:cNvPr id="26" name="TextBox 25">
          <a:extLst>
            <a:ext uri="{FF2B5EF4-FFF2-40B4-BE49-F238E27FC236}">
              <a16:creationId xmlns:a16="http://schemas.microsoft.com/office/drawing/2014/main" id="{00000000-0008-0000-0000-00001A000000}"/>
            </a:ext>
          </a:extLst>
        </xdr:cNvPr>
        <xdr:cNvSpPr txBox="1"/>
      </xdr:nvSpPr>
      <xdr:spPr>
        <a:xfrm>
          <a:off x="0" y="5705474"/>
          <a:ext cx="3533775" cy="971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174E01B9-B81C-43CF-BF87-BCA1DDC0DCCF}" type="TxLink">
            <a:rPr lang="en-US" sz="1800" b="1" i="0" u="none" strike="noStrike" baseline="0">
              <a:solidFill>
                <a:srgbClr val="FF0000"/>
              </a:solidFill>
              <a:latin typeface="Calibri"/>
              <a:cs typeface="Calibri"/>
            </a:rPr>
            <a:pPr/>
            <a:t> </a:t>
          </a:fld>
          <a:endParaRPr lang="en-US" sz="1800" b="1" i="0" u="none" strike="noStrike" baseline="0">
            <a:solidFill>
              <a:srgbClr val="FF0000"/>
            </a:solidFill>
            <a:latin typeface="Arial" panose="020B0604020202020204" pitchFamily="34" charset="0"/>
            <a:cs typeface="Arial" panose="020B0604020202020204" pitchFamily="34" charset="0"/>
          </a:endParaRPr>
        </a:p>
      </xdr:txBody>
    </xdr:sp>
    <xdr:clientData/>
  </xdr:oneCellAnchor>
  <xdr:oneCellAnchor>
    <xdr:from>
      <xdr:col>6</xdr:col>
      <xdr:colOff>609600</xdr:colOff>
      <xdr:row>14</xdr:row>
      <xdr:rowOff>190500</xdr:rowOff>
    </xdr:from>
    <xdr:ext cx="2609850" cy="704850"/>
    <xdr:sp macro="" textlink="texts!D318">
      <xdr:nvSpPr>
        <xdr:cNvPr id="2" name="TextBox 1">
          <a:extLst>
            <a:ext uri="{FF2B5EF4-FFF2-40B4-BE49-F238E27FC236}">
              <a16:creationId xmlns:a16="http://schemas.microsoft.com/office/drawing/2014/main" id="{00000000-0008-0000-0000-000002000000}"/>
            </a:ext>
          </a:extLst>
        </xdr:cNvPr>
        <xdr:cNvSpPr txBox="1"/>
      </xdr:nvSpPr>
      <xdr:spPr>
        <a:xfrm>
          <a:off x="7515225" y="3390900"/>
          <a:ext cx="260985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0A94D09-1D88-432F-9F3C-C210DD10DC81}" type="TxLink">
            <a:rPr lang="en-US" sz="1400" b="0" i="0" u="none" strike="noStrike">
              <a:solidFill>
                <a:srgbClr val="0070C0"/>
              </a:solidFill>
              <a:latin typeface="Calibri"/>
              <a:cs typeface="Calibri"/>
            </a:rPr>
            <a:pPr/>
            <a:t>no CO2-economy established</a:t>
          </a:fld>
          <a:endParaRPr lang="de-DE" sz="1400">
            <a:solidFill>
              <a:srgbClr val="0070C0"/>
            </a:solidFill>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0.49773</cdr:x>
      <cdr:y>0.09273</cdr:y>
    </cdr:from>
    <cdr:to>
      <cdr:x>0.79851</cdr:x>
      <cdr:y>0.2034</cdr:y>
    </cdr:to>
    <cdr:sp macro="" textlink="texts!$A$19">
      <cdr:nvSpPr>
        <cdr:cNvPr id="2" name="Textfeld 1"/>
        <cdr:cNvSpPr txBox="1"/>
      </cdr:nvSpPr>
      <cdr:spPr>
        <a:xfrm xmlns:a="http://schemas.openxmlformats.org/drawingml/2006/main">
          <a:off x="1763559" y="170138"/>
          <a:ext cx="1065732" cy="2030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fld id="{7022A6D3-6B52-47B2-A108-9F6A0F212568}" type="TxLink">
            <a:rPr lang="en-US" sz="1100" b="0" i="0" u="none" strike="noStrike">
              <a:solidFill>
                <a:srgbClr val="000000"/>
              </a:solidFill>
              <a:latin typeface="Calibri"/>
              <a:cs typeface="Calibri"/>
            </a:rPr>
            <a:pPr algn="r"/>
            <a:t>UN variant:</a:t>
          </a:fld>
          <a:endParaRPr lang="en-US" sz="1100"/>
        </a:p>
      </cdr:txBody>
    </cdr:sp>
  </cdr:relSizeAnchor>
  <cdr:relSizeAnchor xmlns:cdr="http://schemas.openxmlformats.org/drawingml/2006/chartDrawing">
    <cdr:from>
      <cdr:x>0.78925</cdr:x>
      <cdr:y>0.09216</cdr:y>
    </cdr:from>
    <cdr:to>
      <cdr:x>0.9075</cdr:x>
      <cdr:y>0.22001</cdr:y>
    </cdr:to>
    <cdr:sp macro="" textlink="texts!$A$22">
      <cdr:nvSpPr>
        <cdr:cNvPr id="3" name="Textfeld 2"/>
        <cdr:cNvSpPr txBox="1"/>
      </cdr:nvSpPr>
      <cdr:spPr>
        <a:xfrm xmlns:a="http://schemas.openxmlformats.org/drawingml/2006/main">
          <a:off x="2799673" y="168547"/>
          <a:ext cx="419462" cy="233812"/>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76168B77-1DC4-4793-A2EB-3F907D966121}" type="TxLink">
            <a:rPr lang="en-US" sz="1100" b="0" i="0" u="none" strike="noStrike">
              <a:solidFill>
                <a:srgbClr val="0070C0"/>
              </a:solidFill>
              <a:latin typeface="Calibri"/>
              <a:cs typeface="Calibri"/>
            </a:rPr>
            <a:pPr/>
            <a:t>high</a:t>
          </a:fld>
          <a:endParaRPr lang="en-US" sz="1100">
            <a:solidFill>
              <a:srgbClr val="0070C0"/>
            </a:solidFill>
          </a:endParaRPr>
        </a:p>
      </cdr:txBody>
    </cdr:sp>
  </cdr:relSizeAnchor>
  <cdr:relSizeAnchor xmlns:cdr="http://schemas.openxmlformats.org/drawingml/2006/chartDrawing">
    <cdr:from>
      <cdr:x>0.79237</cdr:x>
      <cdr:y>0.47535</cdr:y>
    </cdr:from>
    <cdr:to>
      <cdr:x>0.8952</cdr:x>
      <cdr:y>0.58494</cdr:y>
    </cdr:to>
    <cdr:sp macro="" textlink="texts!$A$20">
      <cdr:nvSpPr>
        <cdr:cNvPr id="4" name="Textfeld 3"/>
        <cdr:cNvSpPr txBox="1"/>
      </cdr:nvSpPr>
      <cdr:spPr>
        <a:xfrm xmlns:a="http://schemas.openxmlformats.org/drawingml/2006/main">
          <a:off x="2810743" y="869312"/>
          <a:ext cx="364763" cy="200419"/>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6FBE51F3-C4A9-437A-A618-068484509299}" type="TxLink">
            <a:rPr lang="en-US" sz="1100" b="0" i="0" u="none" strike="noStrike">
              <a:solidFill>
                <a:srgbClr val="0070C0"/>
              </a:solidFill>
              <a:latin typeface="Calibri"/>
              <a:cs typeface="Calibri"/>
            </a:rPr>
            <a:pPr/>
            <a:t>low</a:t>
          </a:fld>
          <a:endParaRPr lang="en-US" sz="1100">
            <a:solidFill>
              <a:srgbClr val="0070C0"/>
            </a:solidFill>
          </a:endParaRPr>
        </a:p>
      </cdr:txBody>
    </cdr:sp>
  </cdr:relSizeAnchor>
  <cdr:relSizeAnchor xmlns:cdr="http://schemas.openxmlformats.org/drawingml/2006/chartDrawing">
    <cdr:from>
      <cdr:x>0.78769</cdr:x>
      <cdr:y>0.24558</cdr:y>
    </cdr:from>
    <cdr:to>
      <cdr:x>0.96764</cdr:x>
      <cdr:y>0.37343</cdr:y>
    </cdr:to>
    <cdr:sp macro="" textlink="texts!$A$21">
      <cdr:nvSpPr>
        <cdr:cNvPr id="5" name="Textfeld 4"/>
        <cdr:cNvSpPr txBox="1"/>
      </cdr:nvSpPr>
      <cdr:spPr>
        <a:xfrm xmlns:a="http://schemas.openxmlformats.org/drawingml/2006/main">
          <a:off x="2794132" y="449110"/>
          <a:ext cx="638326" cy="233812"/>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AE6D8ECA-335C-4EBA-BC70-1EA5B5F89E04}" type="TxLink">
            <a:rPr lang="en-US" sz="1100" b="0" i="0" u="none" strike="noStrike">
              <a:solidFill>
                <a:srgbClr val="00B050"/>
              </a:solidFill>
              <a:latin typeface="Calibri"/>
              <a:cs typeface="Calibri"/>
            </a:rPr>
            <a:pPr/>
            <a:t>medium</a:t>
          </a:fld>
          <a:endParaRPr lang="en-US" sz="1100">
            <a:solidFill>
              <a:srgbClr val="00B050"/>
            </a:solidFill>
          </a:endParaRPr>
        </a:p>
      </cdr:txBody>
    </cdr:sp>
  </cdr:relSizeAnchor>
  <cdr:relSizeAnchor xmlns:cdr="http://schemas.openxmlformats.org/drawingml/2006/chartDrawing">
    <cdr:from>
      <cdr:x>0.0989</cdr:x>
      <cdr:y>0</cdr:y>
    </cdr:from>
    <cdr:to>
      <cdr:x>0.89798</cdr:x>
      <cdr:y>0.13036</cdr:y>
    </cdr:to>
    <cdr:sp macro="" textlink="texts!$A$9">
      <cdr:nvSpPr>
        <cdr:cNvPr id="6" name="Textfeld 5"/>
        <cdr:cNvSpPr txBox="1"/>
      </cdr:nvSpPr>
      <cdr:spPr>
        <a:xfrm xmlns:a="http://schemas.openxmlformats.org/drawingml/2006/main">
          <a:off x="350520" y="0"/>
          <a:ext cx="2832010" cy="238484"/>
        </a:xfrm>
        <a:prstGeom xmlns:a="http://schemas.openxmlformats.org/drawingml/2006/main" prst="rect">
          <a:avLst/>
        </a:prstGeom>
      </cdr:spPr>
      <cdr:txBody>
        <a:bodyPr xmlns:a="http://schemas.openxmlformats.org/drawingml/2006/main" vertOverflow="clip" wrap="none" tIns="0" rtlCol="0"/>
        <a:lstStyle xmlns:a="http://schemas.openxmlformats.org/drawingml/2006/main"/>
        <a:p xmlns:a="http://schemas.openxmlformats.org/drawingml/2006/main">
          <a:pPr algn="l"/>
          <a:fld id="{C47444D2-0091-4E9B-B8B7-38B4464E3900}" type="TxLink">
            <a:rPr lang="en-US" sz="1400" b="0" i="0" u="none" strike="noStrike">
              <a:solidFill>
                <a:srgbClr val="000000"/>
              </a:solidFill>
              <a:latin typeface="Calibri"/>
              <a:cs typeface="Calibri"/>
            </a:rPr>
            <a:pPr algn="l"/>
            <a:t>world population</a:t>
          </a:fld>
          <a:endParaRPr lang="en-US" sz="1400"/>
        </a:p>
      </cdr:txBody>
    </cdr:sp>
  </cdr:relSizeAnchor>
</c:userShapes>
</file>

<file path=xl/drawings/drawing3.xml><?xml version="1.0" encoding="utf-8"?>
<c:userShapes xmlns:c="http://schemas.openxmlformats.org/drawingml/2006/chart">
  <cdr:relSizeAnchor xmlns:cdr="http://schemas.openxmlformats.org/drawingml/2006/chartDrawing">
    <cdr:from>
      <cdr:x>0.31321</cdr:x>
      <cdr:y>0.76036</cdr:y>
    </cdr:from>
    <cdr:to>
      <cdr:x>0.64977</cdr:x>
      <cdr:y>0.88641</cdr:y>
    </cdr:to>
    <cdr:sp macro="" textlink="texts!$A$39">
      <cdr:nvSpPr>
        <cdr:cNvPr id="2" name="Textfeld 1"/>
        <cdr:cNvSpPr txBox="1"/>
      </cdr:nvSpPr>
      <cdr:spPr>
        <a:xfrm xmlns:a="http://schemas.openxmlformats.org/drawingml/2006/main">
          <a:off x="1103830" y="1564361"/>
          <a:ext cx="1186122" cy="2593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836F2928-34F9-4BDC-B7EF-BAC6D9F3E2C7}" type="TxLink">
            <a:rPr lang="en-US" sz="1100" b="0" i="0" u="none" strike="noStrike">
              <a:solidFill>
                <a:srgbClr val="0070C0"/>
              </a:solidFill>
              <a:latin typeface="Calibri"/>
              <a:cs typeface="Calibri"/>
            </a:rPr>
            <a:pPr/>
            <a:t>non-OECD countries</a:t>
          </a:fld>
          <a:endParaRPr lang="en-US" sz="1100">
            <a:solidFill>
              <a:srgbClr val="0070C0"/>
            </a:solidFill>
          </a:endParaRPr>
        </a:p>
      </cdr:txBody>
    </cdr:sp>
  </cdr:relSizeAnchor>
  <cdr:relSizeAnchor xmlns:cdr="http://schemas.openxmlformats.org/drawingml/2006/chartDrawing">
    <cdr:from>
      <cdr:x>0.30826</cdr:x>
      <cdr:y>0.29763</cdr:y>
    </cdr:from>
    <cdr:to>
      <cdr:x>0.61196</cdr:x>
      <cdr:y>0.42436</cdr:y>
    </cdr:to>
    <cdr:sp macro="" textlink="texts!$A$38">
      <cdr:nvSpPr>
        <cdr:cNvPr id="3" name="Textfeld 2"/>
        <cdr:cNvSpPr txBox="1"/>
      </cdr:nvSpPr>
      <cdr:spPr>
        <a:xfrm xmlns:a="http://schemas.openxmlformats.org/drawingml/2006/main">
          <a:off x="1091825" y="548161"/>
          <a:ext cx="1075658" cy="2334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376E678C-4993-4E60-959C-35EB06F031DC}" type="TxLink">
            <a:rPr lang="en-US" sz="1100" b="0" i="0" u="none" strike="noStrike">
              <a:solidFill>
                <a:srgbClr val="0070C0"/>
              </a:solidFill>
              <a:latin typeface="Calibri"/>
              <a:cs typeface="Calibri"/>
            </a:rPr>
            <a:pPr/>
            <a:t>OECD countries</a:t>
          </a:fld>
          <a:endParaRPr lang="en-US" sz="1100">
            <a:solidFill>
              <a:srgbClr val="0070C0"/>
            </a:solidFill>
          </a:endParaRPr>
        </a:p>
      </cdr:txBody>
    </cdr:sp>
  </cdr:relSizeAnchor>
  <cdr:relSizeAnchor xmlns:cdr="http://schemas.openxmlformats.org/drawingml/2006/chartDrawing">
    <cdr:from>
      <cdr:x>0.11111</cdr:x>
      <cdr:y>0</cdr:y>
    </cdr:from>
    <cdr:to>
      <cdr:x>0.95185</cdr:x>
      <cdr:y>0.15707</cdr:y>
    </cdr:to>
    <cdr:sp macro="" textlink="texts!$A$40">
      <cdr:nvSpPr>
        <cdr:cNvPr id="4" name="Textfeld 3"/>
        <cdr:cNvSpPr txBox="1"/>
      </cdr:nvSpPr>
      <cdr:spPr>
        <a:xfrm xmlns:a="http://schemas.openxmlformats.org/drawingml/2006/main">
          <a:off x="394138" y="0"/>
          <a:ext cx="2982310" cy="289035"/>
        </a:xfrm>
        <a:prstGeom xmlns:a="http://schemas.openxmlformats.org/drawingml/2006/main" prst="rect">
          <a:avLst/>
        </a:prstGeom>
      </cdr:spPr>
      <cdr:txBody>
        <a:bodyPr xmlns:a="http://schemas.openxmlformats.org/drawingml/2006/main" vertOverflow="clip" wrap="none" tIns="0" rtlCol="0"/>
        <a:lstStyle xmlns:a="http://schemas.openxmlformats.org/drawingml/2006/main"/>
        <a:p xmlns:a="http://schemas.openxmlformats.org/drawingml/2006/main">
          <a:fld id="{C7B9367E-A8C7-4FFC-83AD-D6F36E16F33A}" type="TxLink">
            <a:rPr lang="en-US" sz="1400" b="0" i="0" u="none" strike="noStrike">
              <a:solidFill>
                <a:srgbClr val="000000"/>
              </a:solidFill>
              <a:latin typeface="Calibri"/>
              <a:cs typeface="Calibri"/>
            </a:rPr>
            <a:pPr/>
            <a:t>per capita primary-energy consumption</a:t>
          </a:fld>
          <a:endParaRPr lang="en-US" sz="1400"/>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0</xdr:colOff>
      <xdr:row>60</xdr:row>
      <xdr:rowOff>0</xdr:rowOff>
    </xdr:from>
    <xdr:to>
      <xdr:col>12</xdr:col>
      <xdr:colOff>0</xdr:colOff>
      <xdr:row>70</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8</xdr:row>
      <xdr:rowOff>0</xdr:rowOff>
    </xdr:from>
    <xdr:to>
      <xdr:col>8</xdr:col>
      <xdr:colOff>0</xdr:colOff>
      <xdr:row>18</xdr:row>
      <xdr:rowOff>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8</xdr:row>
      <xdr:rowOff>0</xdr:rowOff>
    </xdr:from>
    <xdr:to>
      <xdr:col>11</xdr:col>
      <xdr:colOff>791183</xdr:colOff>
      <xdr:row>18</xdr:row>
      <xdr:rowOff>0</xdr:rowOff>
    </xdr:to>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70</xdr:row>
      <xdr:rowOff>0</xdr:rowOff>
    </xdr:from>
    <xdr:to>
      <xdr:col>8</xdr:col>
      <xdr:colOff>0</xdr:colOff>
      <xdr:row>80</xdr:row>
      <xdr:rowOff>0</xdr:rowOff>
    </xdr:to>
    <xdr:graphicFrame macro="">
      <xdr:nvGraphicFramePr>
        <xdr:cNvPr id="6" name="Diagramm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80</xdr:row>
      <xdr:rowOff>0</xdr:rowOff>
    </xdr:from>
    <xdr:to>
      <xdr:col>12</xdr:col>
      <xdr:colOff>0</xdr:colOff>
      <xdr:row>90</xdr:row>
      <xdr:rowOff>0</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80</xdr:row>
      <xdr:rowOff>0</xdr:rowOff>
    </xdr:from>
    <xdr:to>
      <xdr:col>8</xdr:col>
      <xdr:colOff>0</xdr:colOff>
      <xdr:row>90</xdr:row>
      <xdr:rowOff>0</xdr:rowOff>
    </xdr:to>
    <xdr:graphicFrame macro="">
      <xdr:nvGraphicFramePr>
        <xdr:cNvPr id="8" name="Diagramm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70</xdr:row>
      <xdr:rowOff>0</xdr:rowOff>
    </xdr:from>
    <xdr:to>
      <xdr:col>12</xdr:col>
      <xdr:colOff>0</xdr:colOff>
      <xdr:row>80</xdr:row>
      <xdr:rowOff>0</xdr:rowOff>
    </xdr:to>
    <xdr:graphicFrame macro="">
      <xdr:nvGraphicFramePr>
        <xdr:cNvPr id="9" name="Diagramm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xdr:colOff>
      <xdr:row>90</xdr:row>
      <xdr:rowOff>0</xdr:rowOff>
    </xdr:from>
    <xdr:to>
      <xdr:col>8</xdr:col>
      <xdr:colOff>0</xdr:colOff>
      <xdr:row>100</xdr:row>
      <xdr:rowOff>0</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90</xdr:row>
      <xdr:rowOff>0</xdr:rowOff>
    </xdr:from>
    <xdr:to>
      <xdr:col>12</xdr:col>
      <xdr:colOff>0</xdr:colOff>
      <xdr:row>100</xdr:row>
      <xdr:rowOff>0</xdr:rowOff>
    </xdr:to>
    <xdr:graphicFrame macro="">
      <xdr:nvGraphicFramePr>
        <xdr:cNvPr id="11" name="Diagramm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60</xdr:row>
      <xdr:rowOff>0</xdr:rowOff>
    </xdr:from>
    <xdr:to>
      <xdr:col>8</xdr:col>
      <xdr:colOff>0</xdr:colOff>
      <xdr:row>70</xdr:row>
      <xdr:rowOff>0</xdr:rowOff>
    </xdr:to>
    <xdr:graphicFrame macro="">
      <xdr:nvGraphicFramePr>
        <xdr:cNvPr id="13" name="Diagramm 57">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0.42907</cdr:x>
      <cdr:y>0.36667</cdr:y>
    </cdr:from>
    <cdr:to>
      <cdr:x>0.5907</cdr:x>
      <cdr:y>0.48958</cdr:y>
    </cdr:to>
    <cdr:sp macro="" textlink="texts!$A$105">
      <cdr:nvSpPr>
        <cdr:cNvPr id="2" name="Textfeld 1"/>
        <cdr:cNvSpPr txBox="1"/>
      </cdr:nvSpPr>
      <cdr:spPr>
        <a:xfrm xmlns:a="http://schemas.openxmlformats.org/drawingml/2006/main">
          <a:off x="1405890" y="670560"/>
          <a:ext cx="529590" cy="2247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21BABDBD-DB85-4FC1-9CE1-90744D829CED}" type="TxLink">
            <a:rPr lang="en-US" sz="1100" b="0" i="0" u="none" strike="noStrike">
              <a:solidFill>
                <a:srgbClr val="FF9900"/>
              </a:solidFill>
              <a:latin typeface="Calibri"/>
              <a:cs typeface="Calibri"/>
            </a:rPr>
            <a:pPr/>
            <a:t>China</a:t>
          </a:fld>
          <a:endParaRPr lang="en-US" sz="1100">
            <a:solidFill>
              <a:srgbClr val="FF9900"/>
            </a:solidFill>
          </a:endParaRPr>
        </a:p>
      </cdr:txBody>
    </cdr:sp>
  </cdr:relSizeAnchor>
  <cdr:relSizeAnchor xmlns:cdr="http://schemas.openxmlformats.org/drawingml/2006/chartDrawing">
    <cdr:from>
      <cdr:x>0.43372</cdr:x>
      <cdr:y>0.22083</cdr:y>
    </cdr:from>
    <cdr:to>
      <cdr:x>0.71279</cdr:x>
      <cdr:y>0.34792</cdr:y>
    </cdr:to>
    <cdr:sp macro="" textlink="texts!$A$106">
      <cdr:nvSpPr>
        <cdr:cNvPr id="3" name="Textfeld 2"/>
        <cdr:cNvSpPr txBox="1"/>
      </cdr:nvSpPr>
      <cdr:spPr>
        <a:xfrm xmlns:a="http://schemas.openxmlformats.org/drawingml/2006/main">
          <a:off x="1421130" y="403860"/>
          <a:ext cx="914400" cy="2324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A820FD34-16A9-4321-83C5-2840CBB43E9D}" type="TxLink">
            <a:rPr lang="en-US" sz="1100" b="0" i="0" u="none" strike="noStrike">
              <a:solidFill>
                <a:srgbClr val="0000FF"/>
              </a:solidFill>
              <a:latin typeface="Calibri"/>
              <a:cs typeface="Calibri"/>
            </a:rPr>
            <a:pPr/>
            <a:t>Germany</a:t>
          </a:fld>
          <a:endParaRPr lang="en-US" sz="1100">
            <a:solidFill>
              <a:srgbClr val="0000FF"/>
            </a:solidFill>
          </a:endParaRPr>
        </a:p>
      </cdr:txBody>
    </cdr:sp>
  </cdr:relSizeAnchor>
  <cdr:relSizeAnchor xmlns:cdr="http://schemas.openxmlformats.org/drawingml/2006/chartDrawing">
    <cdr:from>
      <cdr:x>0.4314</cdr:x>
      <cdr:y>0.29583</cdr:y>
    </cdr:from>
    <cdr:to>
      <cdr:x>0.71047</cdr:x>
      <cdr:y>0.42708</cdr:y>
    </cdr:to>
    <cdr:sp macro="" textlink="texts!$A$108">
      <cdr:nvSpPr>
        <cdr:cNvPr id="4" name="Textfeld 3"/>
        <cdr:cNvSpPr txBox="1"/>
      </cdr:nvSpPr>
      <cdr:spPr>
        <a:xfrm xmlns:a="http://schemas.openxmlformats.org/drawingml/2006/main">
          <a:off x="1413510" y="541020"/>
          <a:ext cx="914400" cy="2400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BAE17257-C6C4-49FD-83CA-9698F30E62DE}" type="TxLink">
            <a:rPr lang="en-US" sz="1100" b="0" i="0" u="none" strike="noStrike">
              <a:solidFill>
                <a:srgbClr val="FF00FF"/>
              </a:solidFill>
              <a:latin typeface="Calibri"/>
              <a:cs typeface="Calibri"/>
            </a:rPr>
            <a:pPr/>
            <a:t>USA</a:t>
          </a:fld>
          <a:endParaRPr lang="en-US" sz="1100">
            <a:solidFill>
              <a:srgbClr val="FF00FF"/>
            </a:solidFill>
          </a:endParaRPr>
        </a:p>
      </cdr:txBody>
    </cdr:sp>
  </cdr:relSizeAnchor>
  <cdr:relSizeAnchor xmlns:cdr="http://schemas.openxmlformats.org/drawingml/2006/chartDrawing">
    <cdr:from>
      <cdr:x>0.43023</cdr:x>
      <cdr:y>0.59792</cdr:y>
    </cdr:from>
    <cdr:to>
      <cdr:x>0.7093</cdr:x>
      <cdr:y>0.73542</cdr:y>
    </cdr:to>
    <cdr:sp macro="" textlink="texts!$A$107">
      <cdr:nvSpPr>
        <cdr:cNvPr id="5" name="Textfeld 4"/>
        <cdr:cNvSpPr txBox="1"/>
      </cdr:nvSpPr>
      <cdr:spPr>
        <a:xfrm xmlns:a="http://schemas.openxmlformats.org/drawingml/2006/main">
          <a:off x="1409700" y="1093470"/>
          <a:ext cx="91440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D189B3F8-F707-4E21-84E4-A009BE9342A9}" type="TxLink">
            <a:rPr lang="en-US" sz="1100" b="0" i="0" u="none" strike="noStrike">
              <a:solidFill>
                <a:srgbClr val="00B050"/>
              </a:solidFill>
              <a:latin typeface="Calibri"/>
              <a:cs typeface="Calibri"/>
            </a:rPr>
            <a:pPr/>
            <a:t>India</a:t>
          </a:fld>
          <a:endParaRPr lang="en-US" sz="1100">
            <a:solidFill>
              <a:srgbClr val="00B050"/>
            </a:solidFill>
          </a:endParaRPr>
        </a:p>
      </cdr:txBody>
    </cdr:sp>
  </cdr:relSizeAnchor>
  <cdr:relSizeAnchor xmlns:cdr="http://schemas.openxmlformats.org/drawingml/2006/chartDrawing">
    <cdr:from>
      <cdr:x>0.43023</cdr:x>
      <cdr:y>0.50833</cdr:y>
    </cdr:from>
    <cdr:to>
      <cdr:x>0.7093</cdr:x>
      <cdr:y>0.64792</cdr:y>
    </cdr:to>
    <cdr:sp macro="" textlink="texts!$A$110">
      <cdr:nvSpPr>
        <cdr:cNvPr id="6" name="Textfeld 5"/>
        <cdr:cNvSpPr txBox="1"/>
      </cdr:nvSpPr>
      <cdr:spPr>
        <a:xfrm xmlns:a="http://schemas.openxmlformats.org/drawingml/2006/main">
          <a:off x="1409700" y="929640"/>
          <a:ext cx="914400" cy="2552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F5A64E95-8BC3-4E9B-B849-A9FCF9A793C1}" type="TxLink">
            <a:rPr lang="en-US" sz="1100" b="0" i="0" u="none" strike="noStrike">
              <a:solidFill>
                <a:srgbClr val="FF0000"/>
              </a:solidFill>
              <a:latin typeface="Calibri"/>
              <a:cs typeface="Calibri"/>
            </a:rPr>
            <a:pPr/>
            <a:t>world future</a:t>
          </a:fld>
          <a:endParaRPr lang="en-US" sz="1100">
            <a:solidFill>
              <a:srgbClr val="FF0000"/>
            </a:solidFill>
          </a:endParaRPr>
        </a:p>
      </cdr:txBody>
    </cdr:sp>
  </cdr:relSizeAnchor>
  <cdr:relSizeAnchor xmlns:cdr="http://schemas.openxmlformats.org/drawingml/2006/chartDrawing">
    <cdr:from>
      <cdr:x>0.1314</cdr:x>
      <cdr:y>0.35</cdr:y>
    </cdr:from>
    <cdr:to>
      <cdr:x>0.34186</cdr:x>
      <cdr:y>0.60625</cdr:y>
    </cdr:to>
    <cdr:sp macro="" textlink="texts!$A$109">
      <cdr:nvSpPr>
        <cdr:cNvPr id="7" name="Textfeld 6"/>
        <cdr:cNvSpPr txBox="1"/>
      </cdr:nvSpPr>
      <cdr:spPr>
        <a:xfrm xmlns:a="http://schemas.openxmlformats.org/drawingml/2006/main">
          <a:off x="430530" y="640080"/>
          <a:ext cx="689610" cy="468630"/>
        </a:xfrm>
        <a:prstGeom xmlns:a="http://schemas.openxmlformats.org/drawingml/2006/main" prst="rect">
          <a:avLst/>
        </a:prstGeom>
      </cdr:spPr>
      <cdr:txBody>
        <a:bodyPr xmlns:a="http://schemas.openxmlformats.org/drawingml/2006/main" vertOverflow="clip" horzOverflow="clip" wrap="none" rtlCol="0"/>
        <a:lstStyle xmlns:a="http://schemas.openxmlformats.org/drawingml/2006/main"/>
        <a:p xmlns:a="http://schemas.openxmlformats.org/drawingml/2006/main">
          <a:fld id="{915458E7-2E65-446A-A421-1B536B19E00D}" type="TxLink">
            <a:rPr lang="en-US" sz="1100" b="0" i="0" u="none" strike="noStrike">
              <a:solidFill>
                <a:srgbClr val="000000"/>
              </a:solidFill>
              <a:latin typeface="Calibri"/>
              <a:cs typeface="Calibri"/>
            </a:rPr>
            <a:pPr/>
            <a:t>world 
historic</a:t>
          </a:fld>
          <a:endParaRPr 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0.2957</cdr:x>
      <cdr:y>0.74236</cdr:y>
    </cdr:from>
    <cdr:to>
      <cdr:x>0.64052</cdr:x>
      <cdr:y>0.88537</cdr:y>
    </cdr:to>
    <cdr:sp macro="" textlink="texts!$A$126">
      <cdr:nvSpPr>
        <cdr:cNvPr id="2" name="Textfeld 1"/>
        <cdr:cNvSpPr txBox="1"/>
      </cdr:nvSpPr>
      <cdr:spPr>
        <a:xfrm xmlns:a="http://schemas.openxmlformats.org/drawingml/2006/main">
          <a:off x="936820" y="1358894"/>
          <a:ext cx="1092454" cy="2617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9B97B3B9-E7C9-4FE9-982A-D6202101DA46}" type="TxLink">
            <a:rPr lang="en-US" sz="1200" b="0" i="0" u="none" strike="noStrike">
              <a:solidFill>
                <a:schemeClr val="bg1"/>
              </a:solidFill>
              <a:latin typeface="Calibri"/>
              <a:cs typeface="Calibri"/>
            </a:rPr>
            <a:pPr/>
            <a:t>net emitted</a:t>
          </a:fld>
          <a:endParaRPr lang="en-US" sz="1100">
            <a:solidFill>
              <a:schemeClr val="bg1"/>
            </a:solidFill>
          </a:endParaRPr>
        </a:p>
      </cdr:txBody>
    </cdr:sp>
  </cdr:relSizeAnchor>
  <cdr:relSizeAnchor xmlns:cdr="http://schemas.openxmlformats.org/drawingml/2006/chartDrawing">
    <cdr:from>
      <cdr:x>0.29246</cdr:x>
      <cdr:y>0.11667</cdr:y>
    </cdr:from>
    <cdr:to>
      <cdr:x>0.58092</cdr:x>
      <cdr:y>0.2526</cdr:y>
    </cdr:to>
    <cdr:sp macro="" textlink="texts!$A$127">
      <cdr:nvSpPr>
        <cdr:cNvPr id="3" name="Textfeld 2"/>
        <cdr:cNvSpPr txBox="1"/>
      </cdr:nvSpPr>
      <cdr:spPr>
        <a:xfrm xmlns:a="http://schemas.openxmlformats.org/drawingml/2006/main">
          <a:off x="925024" y="211144"/>
          <a:ext cx="912373" cy="2459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51131D03-A194-432E-9673-E6FE57B0C43F}" type="TxLink">
            <a:rPr lang="en-US" sz="1200" b="0" i="0" u="none" strike="noStrike">
              <a:solidFill>
                <a:srgbClr val="00B050"/>
              </a:solidFill>
              <a:latin typeface="Calibri"/>
              <a:cs typeface="Calibri"/>
            </a:rPr>
            <a:pPr/>
            <a:t>captured</a:t>
          </a:fld>
          <a:endParaRPr lang="en-US" sz="1100">
            <a:solidFill>
              <a:srgbClr val="00B05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0.22702</cdr:x>
      <cdr:y>0.54907</cdr:y>
    </cdr:from>
    <cdr:to>
      <cdr:x>0.74368</cdr:x>
      <cdr:y>0.69599</cdr:y>
    </cdr:to>
    <cdr:sp macro="" textlink="texts!$A$112">
      <cdr:nvSpPr>
        <cdr:cNvPr id="2" name="Textfeld 1"/>
        <cdr:cNvSpPr txBox="1"/>
      </cdr:nvSpPr>
      <cdr:spPr>
        <a:xfrm xmlns:a="http://schemas.openxmlformats.org/drawingml/2006/main">
          <a:off x="744644" y="1010216"/>
          <a:ext cx="1694668" cy="2703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37B8D9E-D489-4CFE-97AD-8263E600F44E}" type="TxLink">
            <a:rPr lang="en-US" sz="1100" b="0" i="0" u="none" strike="noStrike">
              <a:solidFill>
                <a:schemeClr val="bg1"/>
              </a:solidFill>
              <a:latin typeface="Calibri"/>
              <a:cs typeface="Calibri"/>
            </a:rPr>
            <a:pPr/>
            <a:t>plant-based food</a:t>
          </a:fld>
          <a:endParaRPr lang="en-US" sz="1100">
            <a:solidFill>
              <a:schemeClr val="bg1"/>
            </a:solidFill>
          </a:endParaRPr>
        </a:p>
      </cdr:txBody>
    </cdr:sp>
  </cdr:relSizeAnchor>
  <cdr:relSizeAnchor xmlns:cdr="http://schemas.openxmlformats.org/drawingml/2006/chartDrawing">
    <cdr:from>
      <cdr:x>0.22105</cdr:x>
      <cdr:y>0.15647</cdr:y>
    </cdr:from>
    <cdr:to>
      <cdr:x>0.75454</cdr:x>
      <cdr:y>0.3034</cdr:y>
    </cdr:to>
    <cdr:sp macro="" textlink="texts!$A$113">
      <cdr:nvSpPr>
        <cdr:cNvPr id="3" name="Textfeld 2"/>
        <cdr:cNvSpPr txBox="1"/>
      </cdr:nvSpPr>
      <cdr:spPr>
        <a:xfrm xmlns:a="http://schemas.openxmlformats.org/drawingml/2006/main" rot="21081363">
          <a:off x="725047" y="287885"/>
          <a:ext cx="1749896" cy="2703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6A785731-A7B9-49C2-8C94-23CFFD5AE5E6}" type="TxLink">
            <a:rPr lang="en-US" sz="1100" b="0" i="0" u="none" strike="noStrike">
              <a:solidFill>
                <a:schemeClr val="tx1"/>
              </a:solidFill>
              <a:latin typeface="Calibri"/>
              <a:cs typeface="Calibri"/>
            </a:rPr>
            <a:pPr/>
            <a:t>animal-based food</a:t>
          </a:fld>
          <a:endParaRPr lang="en-US" sz="1100">
            <a:solidFill>
              <a:schemeClr val="tx1"/>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56</xdr:col>
      <xdr:colOff>7620</xdr:colOff>
      <xdr:row>115</xdr:row>
      <xdr:rowOff>7620</xdr:rowOff>
    </xdr:from>
    <xdr:to>
      <xdr:col>60</xdr:col>
      <xdr:colOff>7620</xdr:colOff>
      <xdr:row>125</xdr:row>
      <xdr:rowOff>7620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4.emf"/><Relationship Id="rId18" Type="http://schemas.openxmlformats.org/officeDocument/2006/relationships/image" Target="../media/image6.emf"/><Relationship Id="rId26" Type="http://schemas.openxmlformats.org/officeDocument/2006/relationships/image" Target="../media/image10.emf"/><Relationship Id="rId3" Type="http://schemas.openxmlformats.org/officeDocument/2006/relationships/printerSettings" Target="../printerSettings/printerSettings3.bin"/><Relationship Id="rId21" Type="http://schemas.openxmlformats.org/officeDocument/2006/relationships/control" Target="../activeX/activeX9.xml"/><Relationship Id="rId7" Type="http://schemas.openxmlformats.org/officeDocument/2006/relationships/image" Target="../media/image1.emf"/><Relationship Id="rId12" Type="http://schemas.openxmlformats.org/officeDocument/2006/relationships/control" Target="../activeX/activeX4.xml"/><Relationship Id="rId17" Type="http://schemas.openxmlformats.org/officeDocument/2006/relationships/control" Target="../activeX/activeX7.xml"/><Relationship Id="rId25" Type="http://schemas.openxmlformats.org/officeDocument/2006/relationships/control" Target="../activeX/activeX11.xml"/><Relationship Id="rId2" Type="http://schemas.openxmlformats.org/officeDocument/2006/relationships/printerSettings" Target="../printerSettings/printerSettings2.bin"/><Relationship Id="rId16" Type="http://schemas.openxmlformats.org/officeDocument/2006/relationships/control" Target="../activeX/activeX6.xml"/><Relationship Id="rId20" Type="http://schemas.openxmlformats.org/officeDocument/2006/relationships/image" Target="../media/image7.emf"/><Relationship Id="rId29"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1.xml"/><Relationship Id="rId11" Type="http://schemas.openxmlformats.org/officeDocument/2006/relationships/image" Target="../media/image3.emf"/><Relationship Id="rId24" Type="http://schemas.openxmlformats.org/officeDocument/2006/relationships/image" Target="../media/image9.emf"/><Relationship Id="rId32" Type="http://schemas.openxmlformats.org/officeDocument/2006/relationships/image" Target="../media/image12.emf"/><Relationship Id="rId5" Type="http://schemas.openxmlformats.org/officeDocument/2006/relationships/vmlDrawing" Target="../drawings/vmlDrawing1.vml"/><Relationship Id="rId15" Type="http://schemas.openxmlformats.org/officeDocument/2006/relationships/image" Target="../media/image5.emf"/><Relationship Id="rId23" Type="http://schemas.openxmlformats.org/officeDocument/2006/relationships/control" Target="../activeX/activeX10.xml"/><Relationship Id="rId28" Type="http://schemas.openxmlformats.org/officeDocument/2006/relationships/control" Target="../activeX/activeX13.xml"/><Relationship Id="rId10" Type="http://schemas.openxmlformats.org/officeDocument/2006/relationships/control" Target="../activeX/activeX3.xml"/><Relationship Id="rId19" Type="http://schemas.openxmlformats.org/officeDocument/2006/relationships/control" Target="../activeX/activeX8.xml"/><Relationship Id="rId31" Type="http://schemas.openxmlformats.org/officeDocument/2006/relationships/control" Target="../activeX/activeX15.xml"/><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5.xml"/><Relationship Id="rId22" Type="http://schemas.openxmlformats.org/officeDocument/2006/relationships/image" Target="../media/image8.emf"/><Relationship Id="rId27" Type="http://schemas.openxmlformats.org/officeDocument/2006/relationships/control" Target="../activeX/activeX12.xml"/><Relationship Id="rId30" Type="http://schemas.openxmlformats.org/officeDocument/2006/relationships/image" Target="../media/image11.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hemeng.uliege.be/Pfennig" TargetMode="External"/><Relationship Id="rId2" Type="http://schemas.openxmlformats.org/officeDocument/2006/relationships/hyperlink" Target="https://www.doi.org/10.1002/cben.201900006" TargetMode="External"/><Relationship Id="rId1" Type="http://schemas.openxmlformats.org/officeDocument/2006/relationships/hyperlink" Target="https://www.bod.de/buchshop/klima-wende-zeit-andreas-pfennig-9783749478378" TargetMode="External"/><Relationship Id="rId5" Type="http://schemas.openxmlformats.org/officeDocument/2006/relationships/printerSettings" Target="../printerSettings/printerSettings4.bin"/><Relationship Id="rId4" Type="http://schemas.openxmlformats.org/officeDocument/2006/relationships/hyperlink" Target="http://www.vision3000.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ipcc.ch/site/assets/uploads/2018/02/WG1AR5_Chapter06_FINAL.pdf" TargetMode="External"/><Relationship Id="rId3" Type="http://schemas.openxmlformats.org/officeDocument/2006/relationships/hyperlink" Target="https://www.icos-cp.eu/GCP/2019" TargetMode="External"/><Relationship Id="rId7" Type="http://schemas.openxmlformats.org/officeDocument/2006/relationships/hyperlink" Target="https://dechema.de/chemie2050.html" TargetMode="External"/><Relationship Id="rId2" Type="http://schemas.openxmlformats.org/officeDocument/2006/relationships/hyperlink" Target="https://www.bp.com/en/global/corporate/energy-economics/statistical-review-of-world-energy.html" TargetMode="External"/><Relationship Id="rId1" Type="http://schemas.openxmlformats.org/officeDocument/2006/relationships/hyperlink" Target="https://population.un.org/wpp/Download/Standard/Population/" TargetMode="External"/><Relationship Id="rId6" Type="http://schemas.openxmlformats.org/officeDocument/2006/relationships/hyperlink" Target="https://doi.org/10.1016/j.esd.2016.04.001" TargetMode="External"/><Relationship Id="rId5" Type="http://schemas.openxmlformats.org/officeDocument/2006/relationships/hyperlink" Target="http://www.fao.org/faostat/en/" TargetMode="External"/><Relationship Id="rId4" Type="http://schemas.openxmlformats.org/officeDocument/2006/relationships/hyperlink" Target="https://www.ipcc.ch/sr15/chapter/chapter-2/" TargetMode="External"/><Relationship Id="rId9"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ipcc.ch/report/ar3/wg1/the-carbon-cycle-and-atmospheric-carbon-dioxide/" TargetMode="External"/><Relationship Id="rId7"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9.bin"/><Relationship Id="rId5" Type="http://schemas.openxmlformats.org/officeDocument/2006/relationships/hyperlink" Target="https://doi.org/10.1016/j.joule.2018.05.006%20(Keith%20et%20al.,%202018)%20newly%20evaluated,%20electricity%20only,%20high-pressure%20variant,%20see%20sheet%20'evaluations'" TargetMode="External"/><Relationship Id="rId4" Type="http://schemas.openxmlformats.org/officeDocument/2006/relationships/hyperlink" Target="http://dx.doi.org/10.1016/j.scitotenv.2017.02.00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fao.org/faostat/e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doi.org/10.1111/j.1365-2699.2005.01448.x" TargetMode="External"/><Relationship Id="rId7" Type="http://schemas.openxmlformats.org/officeDocument/2006/relationships/drawing" Target="../drawings/drawing8.xml"/><Relationship Id="rId2" Type="http://schemas.openxmlformats.org/officeDocument/2006/relationships/hyperlink" Target="https://www.doi.org/10.1002/cben.201900006" TargetMode="External"/><Relationship Id="rId1" Type="http://schemas.openxmlformats.org/officeDocument/2006/relationships/hyperlink" Target="https://phyllis.nl/Browse/Standard/ECN-Phyllis" TargetMode="External"/><Relationship Id="rId6" Type="http://schemas.openxmlformats.org/officeDocument/2006/relationships/printerSettings" Target="../printerSettings/printerSettings14.bin"/><Relationship Id="rId5" Type="http://schemas.openxmlformats.org/officeDocument/2006/relationships/hyperlink" Target="https://doi.org/10.1126/science.1201609" TargetMode="External"/><Relationship Id="rId4" Type="http://schemas.openxmlformats.org/officeDocument/2006/relationships/hyperlink" Target="https://www.ipcc.ch/report/ar3/wg1/the-carbon-cycle-and-atmospheric-carbon-dioxide/" TargetMode="External"/><Relationship Id="rId9"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cos-cp.eu/GCP/2019" TargetMode="External"/><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S45"/>
  <sheetViews>
    <sheetView tabSelected="1" zoomScale="80" zoomScaleNormal="80" workbookViewId="0">
      <selection activeCell="D3" sqref="D3"/>
    </sheetView>
  </sheetViews>
  <sheetFormatPr defaultColWidth="11.5546875" defaultRowHeight="18" x14ac:dyDescent="0.3"/>
  <cols>
    <col min="1" max="1" width="50.6640625" style="8" customWidth="1"/>
    <col min="2" max="2" width="9.21875" style="297" customWidth="1"/>
    <col min="3" max="3" width="13.44140625" style="297" customWidth="1"/>
    <col min="4" max="4" width="5.5546875" style="297" customWidth="1"/>
    <col min="5" max="5" width="7.33203125" style="294" customWidth="1"/>
    <col min="6" max="6" width="14.44140625" style="294" customWidth="1"/>
    <col min="7" max="18" width="10.33203125" style="8" customWidth="1"/>
    <col min="19" max="36" width="11.6640625" style="8" customWidth="1"/>
    <col min="37" max="16384" width="11.5546875" style="8"/>
  </cols>
  <sheetData>
    <row r="1" spans="1:17" ht="18" customHeight="1" x14ac:dyDescent="0.3">
      <c r="A1" s="286" t="str">
        <f ca="1">texts!A4</f>
        <v>Balance-Based World Scenarios</v>
      </c>
      <c r="B1" s="287" t="s">
        <v>804</v>
      </c>
      <c r="C1" s="316">
        <v>4.01</v>
      </c>
      <c r="D1" s="381" t="str">
        <f ca="1">texts!A262</f>
        <v>Author and copyright: Andreas Pfennig. Details see here.</v>
      </c>
      <c r="E1" s="381"/>
      <c r="F1" s="381"/>
      <c r="G1" s="381"/>
      <c r="H1" s="381"/>
      <c r="I1" s="381"/>
      <c r="J1" s="381"/>
      <c r="M1" s="288"/>
    </row>
    <row r="2" spans="1:17" ht="18" customHeight="1" x14ac:dyDescent="0.3">
      <c r="A2" s="289" t="str">
        <f ca="1">texts!A6</f>
        <v>scenario settings</v>
      </c>
      <c r="B2" s="287"/>
      <c r="C2" s="287"/>
      <c r="D2" s="290" t="str">
        <f ca="1">texts!A10</f>
        <v>scale</v>
      </c>
      <c r="E2" s="291" t="str">
        <f ca="1">texts!A11</f>
        <v>value</v>
      </c>
      <c r="F2" s="291"/>
      <c r="G2" s="8" t="str">
        <f ca="1">texts!A5</f>
        <v>language:</v>
      </c>
      <c r="H2" s="272">
        <v>1</v>
      </c>
      <c r="I2" s="8" t="str">
        <f>IF(texts!C1=3,texts!D2,texts!C2)</f>
        <v>1 - English, 2 - Deutsch, other - English</v>
      </c>
      <c r="M2" s="288"/>
    </row>
    <row r="3" spans="1:17" ht="18" customHeight="1" x14ac:dyDescent="0.3">
      <c r="A3" s="292" t="str">
        <f ca="1">texts!A8</f>
        <v>world population (1-low, 2-medium, 3-high)</v>
      </c>
      <c r="B3" s="292"/>
      <c r="C3" s="292"/>
      <c r="D3" s="272">
        <v>68.462972864343556</v>
      </c>
      <c r="E3" s="292">
        <f>intermediates!B4</f>
        <v>2.369259457286871</v>
      </c>
      <c r="F3" s="293" t="s">
        <v>748</v>
      </c>
      <c r="P3" s="294"/>
    </row>
    <row r="4" spans="1:17" ht="18" customHeight="1" x14ac:dyDescent="0.3">
      <c r="A4" s="295" t="str">
        <f ca="1">texts!A29</f>
        <v>upper limit of per-capita primary-energy consumption</v>
      </c>
      <c r="B4" s="295"/>
      <c r="C4" s="295"/>
      <c r="D4" s="272">
        <v>50</v>
      </c>
      <c r="E4" s="296">
        <f>intermediates!B15</f>
        <v>27400</v>
      </c>
      <c r="F4" s="295" t="s">
        <v>1066</v>
      </c>
      <c r="P4" s="294"/>
      <c r="Q4" s="344"/>
    </row>
    <row r="5" spans="1:17" ht="18" customHeight="1" x14ac:dyDescent="0.3">
      <c r="A5" s="292" t="str">
        <f ca="1">texts!A49</f>
        <v>year of intensifying renewable-energy transition, etc.</v>
      </c>
      <c r="B5" s="292"/>
      <c r="C5" s="292"/>
      <c r="D5" s="272">
        <v>1</v>
      </c>
      <c r="E5" s="292">
        <f>intermediates!B29</f>
        <v>2021</v>
      </c>
      <c r="F5" s="293" t="s">
        <v>748</v>
      </c>
      <c r="G5" s="287"/>
      <c r="H5" s="287"/>
      <c r="P5" s="297"/>
      <c r="Q5" s="344"/>
    </row>
    <row r="6" spans="1:17" ht="18" customHeight="1" x14ac:dyDescent="0.3">
      <c r="A6" s="295" t="str">
        <f ca="1">texts!A52</f>
        <v>growth rate solar + wind after intensification</v>
      </c>
      <c r="B6" s="295"/>
      <c r="C6" s="295"/>
      <c r="D6" s="272">
        <v>10</v>
      </c>
      <c r="E6" s="298">
        <f>(intermediates!B35-1)*100</f>
        <v>20.000000000000018</v>
      </c>
      <c r="F6" s="299" t="str">
        <f ca="1">texts!A316</f>
        <v>% / year</v>
      </c>
      <c r="G6" s="287"/>
      <c r="H6" s="287"/>
      <c r="P6" s="297"/>
      <c r="Q6" s="345"/>
    </row>
    <row r="7" spans="1:17" ht="18" customHeight="1" x14ac:dyDescent="0.3">
      <c r="A7" s="292" t="str">
        <f ca="1">IF(intermediates!B13=1,texts!A53,texts!A54)</f>
        <v>limit max. substitution rate (without CO2 econ.)</v>
      </c>
      <c r="B7" s="292"/>
      <c r="C7" s="292"/>
      <c r="D7" s="272">
        <v>25</v>
      </c>
      <c r="E7" s="300">
        <f>intermediates!B37*100</f>
        <v>2.9986327406272411</v>
      </c>
      <c r="F7" s="301" t="str">
        <f ca="1">texts!A316</f>
        <v>% / year</v>
      </c>
      <c r="G7" s="287"/>
      <c r="H7" s="287"/>
      <c r="P7" s="297"/>
    </row>
    <row r="8" spans="1:17" ht="18" customHeight="1" x14ac:dyDescent="0.3">
      <c r="A8" s="295" t="str">
        <f ca="1">texts!A61</f>
        <v>fraction CO2-/bio-based fuels of primary energy</v>
      </c>
      <c r="B8" s="295"/>
      <c r="C8" s="295"/>
      <c r="D8" s="272">
        <v>30</v>
      </c>
      <c r="E8" s="302">
        <f>intermediates!B23*100</f>
        <v>8</v>
      </c>
      <c r="F8" s="295" t="s">
        <v>805</v>
      </c>
      <c r="P8" s="294"/>
    </row>
    <row r="9" spans="1:17" ht="18" customHeight="1" x14ac:dyDescent="0.3">
      <c r="A9" s="292" t="str">
        <f ca="1">texts!A59</f>
        <v>contribution of DACCS/BECCS to CO2 removal</v>
      </c>
      <c r="B9" s="292"/>
      <c r="C9" s="292"/>
      <c r="D9" s="272">
        <v>50</v>
      </c>
      <c r="E9" s="306">
        <f>intermediates!B24</f>
        <v>10</v>
      </c>
      <c r="F9" s="292" t="str">
        <f ca="1">texts!A60</f>
        <v>Gt CO2 / year</v>
      </c>
      <c r="P9" s="294"/>
    </row>
    <row r="10" spans="1:17" ht="18" customHeight="1" x14ac:dyDescent="0.3">
      <c r="A10" s="295" t="str">
        <f ca="1">texts!A293</f>
        <v>fraction of CO2-based vs. bio-based economy</v>
      </c>
      <c r="B10" s="295"/>
      <c r="C10" s="295"/>
      <c r="D10" s="272">
        <v>0</v>
      </c>
      <c r="E10" s="302">
        <f>intermediates!B25*100</f>
        <v>0</v>
      </c>
      <c r="F10" s="295" t="str">
        <f ca="1">texts!A294</f>
        <v>% CO2-based</v>
      </c>
      <c r="H10" s="287"/>
      <c r="P10" s="294"/>
    </row>
    <row r="11" spans="1:17" ht="18" customHeight="1" x14ac:dyDescent="0.3">
      <c r="A11" s="292" t="str">
        <f ca="1">texts!A103</f>
        <v>fraction animal-based food</v>
      </c>
      <c r="B11" s="304"/>
      <c r="C11" s="304"/>
      <c r="D11" s="272">
        <v>7.0061454030290715</v>
      </c>
      <c r="E11" s="306">
        <f>intermediates!B93*100</f>
        <v>2.5222123450904661</v>
      </c>
      <c r="F11" s="293" t="s">
        <v>805</v>
      </c>
    </row>
    <row r="12" spans="1:17" ht="18" customHeight="1" x14ac:dyDescent="0.3">
      <c r="A12" s="295" t="str">
        <f ca="1">texts!A146</f>
        <v>intensification agriculture, 0% = const., 100% = max.</v>
      </c>
      <c r="B12" s="295"/>
      <c r="C12" s="295"/>
      <c r="D12" s="272">
        <v>100</v>
      </c>
      <c r="E12" s="295">
        <f>intermediates!B67*100</f>
        <v>100</v>
      </c>
      <c r="F12" s="305" t="s">
        <v>805</v>
      </c>
    </row>
    <row r="13" spans="1:17" ht="18" customHeight="1" x14ac:dyDescent="0.3">
      <c r="A13" s="292" t="str">
        <f ca="1">texts!A147</f>
        <v>intensification livestock prod., 0% = const., 100% = max.</v>
      </c>
      <c r="B13" s="292"/>
      <c r="C13" s="292"/>
      <c r="D13" s="272">
        <v>100</v>
      </c>
      <c r="E13" s="292">
        <f>intermediates!B68*100</f>
        <v>100</v>
      </c>
      <c r="F13" s="293" t="s">
        <v>805</v>
      </c>
      <c r="H13" s="287"/>
    </row>
    <row r="14" spans="1:17" ht="18" customHeight="1" x14ac:dyDescent="0.3">
      <c r="A14" s="295" t="str">
        <f ca="1">texts!A171</f>
        <v>fraction of cropland with sustainable farming</v>
      </c>
      <c r="B14" s="295"/>
      <c r="C14" s="295"/>
      <c r="D14" s="272">
        <v>100</v>
      </c>
      <c r="E14" s="296">
        <f>intermediates!B75*100</f>
        <v>100</v>
      </c>
      <c r="F14" s="295" t="s">
        <v>805</v>
      </c>
      <c r="G14" s="287"/>
      <c r="H14" s="287"/>
      <c r="P14" s="297"/>
    </row>
    <row r="15" spans="1:17" ht="18" customHeight="1" x14ac:dyDescent="0.3">
      <c r="A15" s="292" t="str">
        <f ca="1">texts!A172</f>
        <v>fraction cropland area reserved for bio-diversity</v>
      </c>
      <c r="B15" s="292"/>
      <c r="C15" s="292"/>
      <c r="D15" s="272">
        <v>12</v>
      </c>
      <c r="E15" s="306">
        <f>100*intermediates!B76</f>
        <v>12</v>
      </c>
      <c r="F15" s="292" t="s">
        <v>805</v>
      </c>
      <c r="G15" s="287"/>
      <c r="H15" s="287"/>
      <c r="P15" s="297"/>
    </row>
    <row r="16" spans="1:17" ht="18" customHeight="1" x14ac:dyDescent="0.3">
      <c r="A16" s="295" t="str">
        <f ca="1">texts!A173</f>
        <v>fraction of agricultural land for afforestation</v>
      </c>
      <c r="B16" s="295"/>
      <c r="C16" s="295"/>
      <c r="D16" s="272">
        <v>15</v>
      </c>
      <c r="E16" s="302">
        <f>100*intermediates!B77</f>
        <v>15</v>
      </c>
      <c r="F16" s="295" t="s">
        <v>805</v>
      </c>
      <c r="H16" s="287"/>
      <c r="P16" s="297"/>
    </row>
    <row r="17" spans="1:19" ht="18" customHeight="1" x14ac:dyDescent="0.3">
      <c r="A17" s="292" t="str">
        <f ca="1">texts!A256</f>
        <v>certainty with which the climate goal shall be reached</v>
      </c>
      <c r="B17" s="292"/>
      <c r="C17" s="292"/>
      <c r="D17" s="340">
        <v>50</v>
      </c>
      <c r="E17" s="323">
        <f>intermediates!B57</f>
        <v>50</v>
      </c>
      <c r="F17" s="324" t="s">
        <v>805</v>
      </c>
      <c r="H17" s="287"/>
      <c r="P17" s="297"/>
    </row>
    <row r="18" spans="1:19" ht="18" customHeight="1" x14ac:dyDescent="0.3">
      <c r="A18" s="307" t="str">
        <f ca="1">texts!A115</f>
        <v>results</v>
      </c>
      <c r="B18" s="287"/>
      <c r="C18" s="287"/>
      <c r="D18" s="291" t="s">
        <v>1061</v>
      </c>
      <c r="E18" s="346" t="str">
        <f ca="1">texts!A317</f>
        <v>kWh per capita &amp; year</v>
      </c>
      <c r="F18" s="8"/>
      <c r="P18" s="287"/>
    </row>
    <row r="19" spans="1:19" ht="18" customHeight="1" x14ac:dyDescent="0.3">
      <c r="A19" s="308" t="str">
        <f ca="1">texts!A116</f>
        <v>fossil-fuel consumption ended / DACCS established in</v>
      </c>
      <c r="B19" s="296">
        <f>IF(data!BR5&gt;1990,data!BR5,"&gt;2100")</f>
        <v>2053</v>
      </c>
      <c r="C19" s="330" t="str">
        <f ca="1">data!BU5</f>
        <v>no DACCS</v>
      </c>
      <c r="D19" s="375">
        <f ca="1">IF((B27+B28)&lt;intermediates!$B$55,intermediates!$B$56+((B27+B28)-intermediates!$B$55)*intermediates!$B$53,intermediates!$B$56+((B27+B28)-intermediates!$B$55)*intermediates!$B$58)</f>
        <v>1.0940741132369969</v>
      </c>
      <c r="E19" s="377">
        <f>data!IG5</f>
        <v>-4.6997583340749411E-16</v>
      </c>
      <c r="F19" s="378">
        <f>data!L156</f>
        <v>12620135500</v>
      </c>
      <c r="H19" s="287"/>
      <c r="P19" s="287"/>
    </row>
    <row r="20" spans="1:19" ht="18" customHeight="1" x14ac:dyDescent="0.3">
      <c r="A20" s="333" t="str">
        <f ca="1">texts!A302</f>
        <v>maximum global warming reached</v>
      </c>
      <c r="B20" s="300">
        <f ca="1">data!CZ5</f>
        <v>1.8880950601468962</v>
      </c>
      <c r="C20" s="334" t="s">
        <v>790</v>
      </c>
      <c r="D20" s="376"/>
      <c r="E20" s="379">
        <f ca="1">B29-2020</f>
        <v>150.72408032347585</v>
      </c>
      <c r="F20" s="380">
        <f>(data!BZ156+data!CA156+data!CB156)/1000000000</f>
        <v>0</v>
      </c>
      <c r="H20" s="287"/>
      <c r="P20" s="287"/>
      <c r="R20" s="287"/>
    </row>
    <row r="21" spans="1:19" ht="18" customHeight="1" x14ac:dyDescent="0.3">
      <c r="A21" s="295" t="str">
        <f ca="1">texts!A119</f>
        <v>temperature increase 2100 above average 1850 to 1900</v>
      </c>
      <c r="B21" s="332">
        <f ca="1">data!CZ156</f>
        <v>1.4045503950728671</v>
      </c>
      <c r="C21" s="305" t="s">
        <v>790</v>
      </c>
      <c r="E21" s="287"/>
      <c r="F21" s="309"/>
      <c r="G21" s="287"/>
      <c r="H21" s="287"/>
      <c r="P21" s="297"/>
      <c r="R21" s="287"/>
    </row>
    <row r="22" spans="1:19" ht="18" customHeight="1" x14ac:dyDescent="0.3">
      <c r="A22" s="292" t="str">
        <f ca="1">texts!A303</f>
        <v>increase primary-energy consumption by CO2 economy</v>
      </c>
      <c r="B22" s="306">
        <f>100*(data!BW156/data!AM156-1)</f>
        <v>0</v>
      </c>
      <c r="C22" s="292" t="s">
        <v>805</v>
      </c>
      <c r="E22" s="287"/>
      <c r="F22" s="309"/>
      <c r="G22" s="287"/>
      <c r="H22" s="287"/>
      <c r="P22" s="297"/>
      <c r="R22" s="309"/>
    </row>
    <row r="23" spans="1:19" ht="18" customHeight="1" x14ac:dyDescent="0.3">
      <c r="A23" s="295" t="str">
        <f ca="1">texts!A58</f>
        <v>fraction BECCS of primary energy in 2100</v>
      </c>
      <c r="B23" s="302">
        <f>100*data!AY156/data!BW156</f>
        <v>7.2303690873807742</v>
      </c>
      <c r="C23" s="305" t="s">
        <v>805</v>
      </c>
      <c r="E23" s="287"/>
      <c r="F23" s="309"/>
      <c r="G23" s="287"/>
      <c r="H23" s="287"/>
      <c r="P23" s="297"/>
      <c r="R23" s="366"/>
    </row>
    <row r="24" spans="1:19" ht="18" customHeight="1" x14ac:dyDescent="0.3">
      <c r="A24" s="292" t="str">
        <f ca="1">texts!A117</f>
        <v>accumulated CO2 emitted between 1875 and 2100</v>
      </c>
      <c r="B24" s="303">
        <f>data!CV156</f>
        <v>3203.9310777670239</v>
      </c>
      <c r="C24" s="292" t="s">
        <v>806</v>
      </c>
      <c r="E24" s="287"/>
      <c r="F24" s="309"/>
      <c r="G24" s="287"/>
      <c r="H24" s="287"/>
      <c r="P24" s="297"/>
      <c r="R24" s="287"/>
      <c r="S24" s="310"/>
    </row>
    <row r="25" spans="1:19" ht="18" customHeight="1" x14ac:dyDescent="0.3">
      <c r="A25" s="295" t="str">
        <f ca="1">texts!A290</f>
        <v>sum DACCS and BECCS until 2100</v>
      </c>
      <c r="B25" s="296">
        <f>-data!CR156</f>
        <v>-645</v>
      </c>
      <c r="C25" s="295" t="s">
        <v>806</v>
      </c>
      <c r="E25" s="309"/>
      <c r="F25" s="309"/>
      <c r="G25" s="287"/>
      <c r="H25" s="287"/>
      <c r="P25" s="297"/>
      <c r="R25" s="287"/>
      <c r="S25" s="310"/>
    </row>
    <row r="26" spans="1:19" ht="18" customHeight="1" x14ac:dyDescent="0.3">
      <c r="A26" s="292" t="str">
        <f ca="1">IF(data!BR5&lt;1990,"",texts!A291)</f>
        <v>sum all land-use changes until 2100</v>
      </c>
      <c r="B26" s="303">
        <f ca="1">IF(data!BR5&lt;1990,"",-data!HL156)</f>
        <v>80.751594085566751</v>
      </c>
      <c r="C26" s="292" t="str">
        <f>IF(data!BR5&lt;1990,"","Gt CO2")</f>
        <v>Gt CO2</v>
      </c>
      <c r="E26" s="287"/>
      <c r="F26" s="309"/>
      <c r="G26" s="287"/>
      <c r="H26" s="287"/>
      <c r="P26" s="297"/>
      <c r="S26" s="310"/>
    </row>
    <row r="27" spans="1:19" ht="18" customHeight="1" x14ac:dyDescent="0.3">
      <c r="A27" s="295" t="str">
        <f ca="1">IF(data!BR5&lt;1990,"",texts!A292)</f>
        <v xml:space="preserve">rest anthropogenic CO2 in environment 2100 </v>
      </c>
      <c r="B27" s="296">
        <f ca="1">IF(data!BR5&lt;1990,"",data!CX156)</f>
        <v>2639.682671852594</v>
      </c>
      <c r="C27" s="295" t="str">
        <f>IF(data!BR5&lt;1990,"","Gt CO2")</f>
        <v>Gt CO2</v>
      </c>
      <c r="E27" s="287"/>
      <c r="F27" s="309"/>
      <c r="G27" s="287"/>
      <c r="H27" s="287"/>
      <c r="P27" s="297"/>
      <c r="S27" s="310"/>
    </row>
    <row r="28" spans="1:19" ht="18" customHeight="1" x14ac:dyDescent="0.3">
      <c r="A28" s="292" t="str">
        <f ca="1">IF(data!BR5&lt;1990,"",texts!A118)</f>
        <v>effect of all land-use change after 2100</v>
      </c>
      <c r="B28" s="303">
        <f ca="1">IF(data!BR5&lt;1990,"",-(SUM(data!HD5:HG5)-control!B26))</f>
        <v>-570.93868044669989</v>
      </c>
      <c r="C28" s="293" t="str">
        <f>IF(data!BR5&lt;1990,"","Gt CO2")</f>
        <v>Gt CO2</v>
      </c>
      <c r="E28" s="287"/>
      <c r="F28" s="309"/>
      <c r="G28" s="287"/>
      <c r="H28" s="287"/>
      <c r="P28" s="297"/>
    </row>
    <row r="29" spans="1:19" ht="18" customHeight="1" x14ac:dyDescent="0.3">
      <c r="A29" s="295" t="str">
        <f ca="1">IF(data!BR5&lt;1990,"",texts!A306)</f>
        <v>measures for reaching net emitted 1200 Gt CO2 end in</v>
      </c>
      <c r="B29" s="296">
        <f ca="1">IF(data!BR5&lt;1990,"",IF(AND(data!CX155&gt;data!CX156,D9&gt;0),(2100+(data!CV156-(data!CR156+SUM(data!HD5:HG5))-1200)/data!CQ156),texts!A308))</f>
        <v>2170.7240803234758</v>
      </c>
      <c r="C29" s="295"/>
      <c r="D29" s="287"/>
      <c r="E29" s="287"/>
      <c r="F29" s="309"/>
      <c r="G29" s="287"/>
      <c r="H29" s="287"/>
      <c r="P29" s="297"/>
    </row>
    <row r="30" spans="1:19" ht="312" customHeight="1" x14ac:dyDescent="0.3">
      <c r="A30" s="382" t="str">
        <f ca="1">REPLACE(intermediates!B121,1,1,"")</f>
        <v>Warning: The rate of BECCS and alternatives exceeds what may be feasible according to estimates of the IPCC in the Fifth Assessment Report.</v>
      </c>
      <c r="B30" s="382"/>
      <c r="C30" s="382"/>
      <c r="D30" s="382"/>
      <c r="E30" s="382"/>
      <c r="F30" s="382"/>
      <c r="G30" s="382"/>
      <c r="H30" s="383" t="str">
        <f ca="1">REPLACE(intermediates!B133,1,1,"")</f>
        <v>Caution: Keeping population growth only slightly above medium variant may require dedicated political measures like intensified development aids.
Caution:  Societal consent is required to use BECCS or/and DACCS with permanent underground storage of carbon dioxide, hydro-thermal carbonization and storage in soil or other utilization with long-term storage of carbon. This consent may be difficult to acquire!
Caution: The future fraction of animal-based food lies below current value. Very intense education and strong political measures will be required to reach this value!</v>
      </c>
      <c r="I30" s="383"/>
      <c r="J30" s="383"/>
      <c r="K30" s="383"/>
      <c r="L30" s="383"/>
      <c r="M30" s="383"/>
      <c r="N30" s="383"/>
      <c r="O30" s="383"/>
      <c r="P30" s="383"/>
      <c r="Q30" s="281"/>
    </row>
    <row r="31" spans="1:19" s="311" customFormat="1" ht="18" customHeight="1" x14ac:dyDescent="0.3"/>
    <row r="45" spans="1:1" x14ac:dyDescent="0.3">
      <c r="A45" s="8" t="s">
        <v>807</v>
      </c>
    </row>
  </sheetData>
  <sheetProtection password="F8DD" sheet="1" selectLockedCells="1"/>
  <customSheetViews>
    <customSheetView guid="{19166E14-FA2C-4A8E-94B4-58FB50E3C2AB}" scale="80" showPageBreaks="1">
      <selection sqref="A1:XFD1048576"/>
      <pageMargins left="0.70866141732283472" right="0.70866141732283472" top="0.78740157480314965" bottom="0.78740157480314965" header="0.31496062992125984" footer="0.31496062992125984"/>
      <printOptions gridLines="1"/>
      <pageSetup paperSize="9" orientation="portrait" r:id="rId1"/>
    </customSheetView>
    <customSheetView guid="{A04E2617-7092-4ACA-9C80-BFC49C4921F8}" scale="80" showPageBreaks="1" showGridLines="0" showRowCol="0">
      <selection activeCell="U9" sqref="U9"/>
      <pageMargins left="0.70866141732283472" right="0.70866141732283472" top="0.78740157480314965" bottom="0.78740157480314965" header="0.31496062992125984" footer="0.31496062992125984"/>
      <pageSetup paperSize="66" orientation="landscape" r:id="rId2"/>
    </customSheetView>
  </customSheetViews>
  <mergeCells count="3">
    <mergeCell ref="D1:J1"/>
    <mergeCell ref="A30:G30"/>
    <mergeCell ref="H30:P30"/>
  </mergeCells>
  <hyperlinks>
    <hyperlink ref="D1" location="'how to use'!A18" display="'how to use'!A18" xr:uid="{00000000-0004-0000-0000-000000000000}"/>
    <hyperlink ref="D1:J1" location="'how to use'!A18" display="'how to use'!A18" xr:uid="{00000000-0004-0000-0000-000001000000}"/>
  </hyperlinks>
  <printOptions gridLines="1"/>
  <pageMargins left="0.70866141732283472" right="0.70866141732283472" top="0.78740157480314965" bottom="0.78740157480314965" header="0.31496062992125984" footer="0.31496062992125984"/>
  <pageSetup paperSize="9" orientation="portrait" r:id="rId3"/>
  <ignoredErrors>
    <ignoredError sqref="D1" unlockedFormula="1"/>
  </ignoredErrors>
  <drawing r:id="rId4"/>
  <legacyDrawing r:id="rId5"/>
  <controls>
    <mc:AlternateContent xmlns:mc="http://schemas.openxmlformats.org/markup-compatibility/2006">
      <mc:Choice Requires="x14">
        <control shapeId="3119" r:id="rId6" name="ScrollBar2">
          <controlPr defaultSize="0" autoLine="0" linkedCell="D13" r:id="rId7">
            <anchor moveWithCells="1">
              <from>
                <xdr:col>1</xdr:col>
                <xdr:colOff>0</xdr:colOff>
                <xdr:row>12</xdr:row>
                <xdr:rowOff>0</xdr:rowOff>
              </from>
              <to>
                <xdr:col>3</xdr:col>
                <xdr:colOff>0</xdr:colOff>
                <xdr:row>13</xdr:row>
                <xdr:rowOff>0</xdr:rowOff>
              </to>
            </anchor>
          </controlPr>
        </control>
      </mc:Choice>
      <mc:Fallback>
        <control shapeId="3119" r:id="rId6" name="ScrollBar2"/>
      </mc:Fallback>
    </mc:AlternateContent>
    <mc:AlternateContent xmlns:mc="http://schemas.openxmlformats.org/markup-compatibility/2006">
      <mc:Choice Requires="x14">
        <control shapeId="3118" r:id="rId8" name="ScrollBar1">
          <controlPr defaultSize="0" autoLine="0" linkedCell="D10" r:id="rId9">
            <anchor moveWithCells="1">
              <from>
                <xdr:col>1</xdr:col>
                <xdr:colOff>0</xdr:colOff>
                <xdr:row>9</xdr:row>
                <xdr:rowOff>0</xdr:rowOff>
              </from>
              <to>
                <xdr:col>3</xdr:col>
                <xdr:colOff>0</xdr:colOff>
                <xdr:row>10</xdr:row>
                <xdr:rowOff>0</xdr:rowOff>
              </to>
            </anchor>
          </controlPr>
        </control>
      </mc:Choice>
      <mc:Fallback>
        <control shapeId="3118" r:id="rId8" name="ScrollBar1"/>
      </mc:Fallback>
    </mc:AlternateContent>
    <mc:AlternateContent xmlns:mc="http://schemas.openxmlformats.org/markup-compatibility/2006">
      <mc:Choice Requires="x14">
        <control shapeId="3103" r:id="rId10" name="ScrollBar31">
          <controlPr defaultSize="0" autoLine="0" linkedCell="D3" r:id="rId11">
            <anchor moveWithCells="1">
              <from>
                <xdr:col>1</xdr:col>
                <xdr:colOff>0</xdr:colOff>
                <xdr:row>2</xdr:row>
                <xdr:rowOff>0</xdr:rowOff>
              </from>
              <to>
                <xdr:col>3</xdr:col>
                <xdr:colOff>0</xdr:colOff>
                <xdr:row>3</xdr:row>
                <xdr:rowOff>0</xdr:rowOff>
              </to>
            </anchor>
          </controlPr>
        </control>
      </mc:Choice>
      <mc:Fallback>
        <control shapeId="3103" r:id="rId10" name="ScrollBar31"/>
      </mc:Fallback>
    </mc:AlternateContent>
    <mc:AlternateContent xmlns:mc="http://schemas.openxmlformats.org/markup-compatibility/2006">
      <mc:Choice Requires="x14">
        <control shapeId="3104" r:id="rId12" name="ScrollBar32">
          <controlPr defaultSize="0" autoLine="0" linkedCell="D4" r:id="rId13">
            <anchor moveWithCells="1">
              <from>
                <xdr:col>1</xdr:col>
                <xdr:colOff>0</xdr:colOff>
                <xdr:row>3</xdr:row>
                <xdr:rowOff>0</xdr:rowOff>
              </from>
              <to>
                <xdr:col>3</xdr:col>
                <xdr:colOff>0</xdr:colOff>
                <xdr:row>4</xdr:row>
                <xdr:rowOff>0</xdr:rowOff>
              </to>
            </anchor>
          </controlPr>
        </control>
      </mc:Choice>
      <mc:Fallback>
        <control shapeId="3104" r:id="rId12" name="ScrollBar32"/>
      </mc:Fallback>
    </mc:AlternateContent>
    <mc:AlternateContent xmlns:mc="http://schemas.openxmlformats.org/markup-compatibility/2006">
      <mc:Choice Requires="x14">
        <control shapeId="3106" r:id="rId14" name="ScrollBar34">
          <controlPr defaultSize="0" autoLine="0" linkedCell="D5" r:id="rId15">
            <anchor moveWithCells="1">
              <from>
                <xdr:col>1</xdr:col>
                <xdr:colOff>0</xdr:colOff>
                <xdr:row>4</xdr:row>
                <xdr:rowOff>0</xdr:rowOff>
              </from>
              <to>
                <xdr:col>3</xdr:col>
                <xdr:colOff>0</xdr:colOff>
                <xdr:row>5</xdr:row>
                <xdr:rowOff>0</xdr:rowOff>
              </to>
            </anchor>
          </controlPr>
        </control>
      </mc:Choice>
      <mc:Fallback>
        <control shapeId="3106" r:id="rId14" name="ScrollBar34"/>
      </mc:Fallback>
    </mc:AlternateContent>
    <mc:AlternateContent xmlns:mc="http://schemas.openxmlformats.org/markup-compatibility/2006">
      <mc:Choice Requires="x14">
        <control shapeId="3107" r:id="rId16" name="ScrollBar35">
          <controlPr defaultSize="0" autoLine="0" linkedCell="D6" r:id="rId13">
            <anchor moveWithCells="1">
              <from>
                <xdr:col>1</xdr:col>
                <xdr:colOff>0</xdr:colOff>
                <xdr:row>5</xdr:row>
                <xdr:rowOff>0</xdr:rowOff>
              </from>
              <to>
                <xdr:col>3</xdr:col>
                <xdr:colOff>0</xdr:colOff>
                <xdr:row>6</xdr:row>
                <xdr:rowOff>0</xdr:rowOff>
              </to>
            </anchor>
          </controlPr>
        </control>
      </mc:Choice>
      <mc:Fallback>
        <control shapeId="3107" r:id="rId16" name="ScrollBar35"/>
      </mc:Fallback>
    </mc:AlternateContent>
    <mc:AlternateContent xmlns:mc="http://schemas.openxmlformats.org/markup-compatibility/2006">
      <mc:Choice Requires="x14">
        <control shapeId="3108" r:id="rId17" name="ScrollBar36">
          <controlPr defaultSize="0" autoLine="0" linkedCell="D7" r:id="rId18">
            <anchor moveWithCells="1">
              <from>
                <xdr:col>1</xdr:col>
                <xdr:colOff>0</xdr:colOff>
                <xdr:row>6</xdr:row>
                <xdr:rowOff>0</xdr:rowOff>
              </from>
              <to>
                <xdr:col>3</xdr:col>
                <xdr:colOff>0</xdr:colOff>
                <xdr:row>7</xdr:row>
                <xdr:rowOff>0</xdr:rowOff>
              </to>
            </anchor>
          </controlPr>
        </control>
      </mc:Choice>
      <mc:Fallback>
        <control shapeId="3108" r:id="rId17" name="ScrollBar36"/>
      </mc:Fallback>
    </mc:AlternateContent>
    <mc:AlternateContent xmlns:mc="http://schemas.openxmlformats.org/markup-compatibility/2006">
      <mc:Choice Requires="x14">
        <control shapeId="3109" r:id="rId19" name="ScrollBar37">
          <controlPr defaultSize="0" autoLine="0" linkedCell="D8" r:id="rId20">
            <anchor moveWithCells="1">
              <from>
                <xdr:col>1</xdr:col>
                <xdr:colOff>0</xdr:colOff>
                <xdr:row>7</xdr:row>
                <xdr:rowOff>0</xdr:rowOff>
              </from>
              <to>
                <xdr:col>3</xdr:col>
                <xdr:colOff>0</xdr:colOff>
                <xdr:row>8</xdr:row>
                <xdr:rowOff>0</xdr:rowOff>
              </to>
            </anchor>
          </controlPr>
        </control>
      </mc:Choice>
      <mc:Fallback>
        <control shapeId="3109" r:id="rId19" name="ScrollBar37"/>
      </mc:Fallback>
    </mc:AlternateContent>
    <mc:AlternateContent xmlns:mc="http://schemas.openxmlformats.org/markup-compatibility/2006">
      <mc:Choice Requires="x14">
        <control shapeId="3110" r:id="rId21" name="ScrollBar38">
          <controlPr defaultSize="0" autoLine="0" linkedCell="D9" r:id="rId22">
            <anchor moveWithCells="1">
              <from>
                <xdr:col>1</xdr:col>
                <xdr:colOff>0</xdr:colOff>
                <xdr:row>8</xdr:row>
                <xdr:rowOff>0</xdr:rowOff>
              </from>
              <to>
                <xdr:col>3</xdr:col>
                <xdr:colOff>0</xdr:colOff>
                <xdr:row>9</xdr:row>
                <xdr:rowOff>0</xdr:rowOff>
              </to>
            </anchor>
          </controlPr>
        </control>
      </mc:Choice>
      <mc:Fallback>
        <control shapeId="3110" r:id="rId21" name="ScrollBar38"/>
      </mc:Fallback>
    </mc:AlternateContent>
    <mc:AlternateContent xmlns:mc="http://schemas.openxmlformats.org/markup-compatibility/2006">
      <mc:Choice Requires="x14">
        <control shapeId="3112" r:id="rId23" name="ScrollBar40">
          <controlPr defaultSize="0" autoLine="0" linkedCell="D11" r:id="rId24">
            <anchor moveWithCells="1">
              <from>
                <xdr:col>1</xdr:col>
                <xdr:colOff>0</xdr:colOff>
                <xdr:row>10</xdr:row>
                <xdr:rowOff>0</xdr:rowOff>
              </from>
              <to>
                <xdr:col>3</xdr:col>
                <xdr:colOff>0</xdr:colOff>
                <xdr:row>11</xdr:row>
                <xdr:rowOff>0</xdr:rowOff>
              </to>
            </anchor>
          </controlPr>
        </control>
      </mc:Choice>
      <mc:Fallback>
        <control shapeId="3112" r:id="rId23" name="ScrollBar40"/>
      </mc:Fallback>
    </mc:AlternateContent>
    <mc:AlternateContent xmlns:mc="http://schemas.openxmlformats.org/markup-compatibility/2006">
      <mc:Choice Requires="x14">
        <control shapeId="3113" r:id="rId25" name="ScrollBar41">
          <controlPr defaultSize="0" autoLine="0" linkedCell="D12" r:id="rId26">
            <anchor moveWithCells="1">
              <from>
                <xdr:col>1</xdr:col>
                <xdr:colOff>0</xdr:colOff>
                <xdr:row>11</xdr:row>
                <xdr:rowOff>0</xdr:rowOff>
              </from>
              <to>
                <xdr:col>3</xdr:col>
                <xdr:colOff>0</xdr:colOff>
                <xdr:row>12</xdr:row>
                <xdr:rowOff>0</xdr:rowOff>
              </to>
            </anchor>
          </controlPr>
        </control>
      </mc:Choice>
      <mc:Fallback>
        <control shapeId="3113" r:id="rId25" name="ScrollBar41"/>
      </mc:Fallback>
    </mc:AlternateContent>
    <mc:AlternateContent xmlns:mc="http://schemas.openxmlformats.org/markup-compatibility/2006">
      <mc:Choice Requires="x14">
        <control shapeId="3114" r:id="rId27" name="ScrollBar42">
          <controlPr defaultSize="0" autoLine="0" linkedCell="D14" r:id="rId26">
            <anchor moveWithCells="1">
              <from>
                <xdr:col>1</xdr:col>
                <xdr:colOff>0</xdr:colOff>
                <xdr:row>13</xdr:row>
                <xdr:rowOff>0</xdr:rowOff>
              </from>
              <to>
                <xdr:col>3</xdr:col>
                <xdr:colOff>0</xdr:colOff>
                <xdr:row>14</xdr:row>
                <xdr:rowOff>0</xdr:rowOff>
              </to>
            </anchor>
          </controlPr>
        </control>
      </mc:Choice>
      <mc:Fallback>
        <control shapeId="3114" r:id="rId27" name="ScrollBar42"/>
      </mc:Fallback>
    </mc:AlternateContent>
    <mc:AlternateContent xmlns:mc="http://schemas.openxmlformats.org/markup-compatibility/2006">
      <mc:Choice Requires="x14">
        <control shapeId="3115" r:id="rId28" name="ScrollBar43">
          <controlPr defaultSize="0" autoLine="0" linkedCell="D16" r:id="rId13">
            <anchor moveWithCells="1">
              <from>
                <xdr:col>1</xdr:col>
                <xdr:colOff>0</xdr:colOff>
                <xdr:row>15</xdr:row>
                <xdr:rowOff>0</xdr:rowOff>
              </from>
              <to>
                <xdr:col>3</xdr:col>
                <xdr:colOff>0</xdr:colOff>
                <xdr:row>16</xdr:row>
                <xdr:rowOff>0</xdr:rowOff>
              </to>
            </anchor>
          </controlPr>
        </control>
      </mc:Choice>
      <mc:Fallback>
        <control shapeId="3115" r:id="rId28" name="ScrollBar43"/>
      </mc:Fallback>
    </mc:AlternateContent>
    <mc:AlternateContent xmlns:mc="http://schemas.openxmlformats.org/markup-compatibility/2006">
      <mc:Choice Requires="x14">
        <control shapeId="3116" r:id="rId29" name="ScrollBar44">
          <controlPr defaultSize="0" autoLine="0" linkedCell="D15" r:id="rId30">
            <anchor moveWithCells="1">
              <from>
                <xdr:col>1</xdr:col>
                <xdr:colOff>0</xdr:colOff>
                <xdr:row>14</xdr:row>
                <xdr:rowOff>0</xdr:rowOff>
              </from>
              <to>
                <xdr:col>3</xdr:col>
                <xdr:colOff>0</xdr:colOff>
                <xdr:row>15</xdr:row>
                <xdr:rowOff>0</xdr:rowOff>
              </to>
            </anchor>
          </controlPr>
        </control>
      </mc:Choice>
      <mc:Fallback>
        <control shapeId="3116" r:id="rId29" name="ScrollBar44"/>
      </mc:Fallback>
    </mc:AlternateContent>
    <mc:AlternateContent xmlns:mc="http://schemas.openxmlformats.org/markup-compatibility/2006">
      <mc:Choice Requires="x14">
        <control shapeId="3117" r:id="rId31" name="ScrollBar45">
          <controlPr defaultSize="0" autoLine="0" linkedCell="D17" r:id="rId32">
            <anchor moveWithCells="1">
              <from>
                <xdr:col>1</xdr:col>
                <xdr:colOff>0</xdr:colOff>
                <xdr:row>16</xdr:row>
                <xdr:rowOff>0</xdr:rowOff>
              </from>
              <to>
                <xdr:col>3</xdr:col>
                <xdr:colOff>0</xdr:colOff>
                <xdr:row>17</xdr:row>
                <xdr:rowOff>0</xdr:rowOff>
              </to>
            </anchor>
          </controlPr>
        </control>
      </mc:Choice>
      <mc:Fallback>
        <control shapeId="3117" r:id="rId31" name="ScrollBar45"/>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E17"/>
  <sheetViews>
    <sheetView workbookViewId="0">
      <selection activeCell="E15" sqref="E15"/>
    </sheetView>
  </sheetViews>
  <sheetFormatPr defaultColWidth="11.5546875" defaultRowHeight="14.4" x14ac:dyDescent="0.3"/>
  <cols>
    <col min="1" max="1" width="11.5546875" style="7"/>
    <col min="2" max="2" width="16.77734375" style="7" customWidth="1"/>
    <col min="3" max="4" width="11.5546875" style="7"/>
    <col min="5" max="5" width="48.44140625" style="7" customWidth="1"/>
    <col min="6" max="16384" width="11.5546875" style="7"/>
  </cols>
  <sheetData>
    <row r="1" spans="1:5" x14ac:dyDescent="0.3">
      <c r="A1" s="7">
        <v>1</v>
      </c>
      <c r="B1" s="7" t="s">
        <v>583</v>
      </c>
      <c r="C1" s="7">
        <v>11666.666666666666</v>
      </c>
      <c r="D1" s="7" t="s">
        <v>584</v>
      </c>
    </row>
    <row r="2" spans="1:5" x14ac:dyDescent="0.3">
      <c r="A2" s="7">
        <v>1</v>
      </c>
      <c r="B2" s="7" t="s">
        <v>585</v>
      </c>
      <c r="C2" s="7">
        <f>C1/1000</f>
        <v>11.666666666666666</v>
      </c>
      <c r="D2" s="7" t="s">
        <v>584</v>
      </c>
    </row>
    <row r="3" spans="1:5" x14ac:dyDescent="0.3">
      <c r="A3" s="7">
        <v>1</v>
      </c>
      <c r="B3" s="7" t="s">
        <v>586</v>
      </c>
      <c r="C3" s="138">
        <v>5.15E+18</v>
      </c>
      <c r="D3" s="7" t="s">
        <v>587</v>
      </c>
      <c r="E3" s="7" t="s">
        <v>588</v>
      </c>
    </row>
    <row r="4" spans="1:5" x14ac:dyDescent="0.3">
      <c r="B4" s="7" t="s">
        <v>589</v>
      </c>
      <c r="C4" s="7">
        <v>28.97</v>
      </c>
      <c r="D4" s="7" t="s">
        <v>483</v>
      </c>
    </row>
    <row r="5" spans="1:5" x14ac:dyDescent="0.3">
      <c r="A5" s="7">
        <v>1</v>
      </c>
      <c r="B5" s="7" t="s">
        <v>586</v>
      </c>
      <c r="C5" s="138">
        <f>1000*C3/C4</f>
        <v>1.7777010700724889E+20</v>
      </c>
      <c r="D5" s="7" t="s">
        <v>590</v>
      </c>
    </row>
    <row r="6" spans="1:5" x14ac:dyDescent="0.3">
      <c r="B6" s="7" t="s">
        <v>498</v>
      </c>
      <c r="C6" s="7">
        <v>44.01</v>
      </c>
      <c r="D6" s="7" t="s">
        <v>483</v>
      </c>
      <c r="E6" s="7" t="s">
        <v>880</v>
      </c>
    </row>
    <row r="7" spans="1:5" x14ac:dyDescent="0.3">
      <c r="B7" s="7" t="s">
        <v>498</v>
      </c>
      <c r="C7" s="7">
        <f>C6/1000</f>
        <v>4.4010000000000001E-2</v>
      </c>
      <c r="D7" s="7" t="s">
        <v>591</v>
      </c>
      <c r="E7" s="7" t="s">
        <v>880</v>
      </c>
    </row>
    <row r="8" spans="1:5" x14ac:dyDescent="0.3">
      <c r="B8" s="7" t="s">
        <v>592</v>
      </c>
      <c r="C8" s="7">
        <v>12.0107</v>
      </c>
      <c r="D8" s="7" t="s">
        <v>483</v>
      </c>
      <c r="E8" s="7" t="s">
        <v>879</v>
      </c>
    </row>
    <row r="9" spans="1:5" x14ac:dyDescent="0.3">
      <c r="B9" s="15" t="s">
        <v>482</v>
      </c>
      <c r="C9">
        <v>162.14060000000001</v>
      </c>
      <c r="D9" s="7" t="s">
        <v>483</v>
      </c>
      <c r="E9" s="7" t="s">
        <v>878</v>
      </c>
    </row>
    <row r="10" spans="1:5" x14ac:dyDescent="0.3">
      <c r="B10" s="15" t="s">
        <v>899</v>
      </c>
      <c r="C10">
        <v>30.025980000000001</v>
      </c>
      <c r="D10" s="7" t="s">
        <v>483</v>
      </c>
      <c r="E10" s="7" t="s">
        <v>900</v>
      </c>
    </row>
    <row r="11" spans="1:5" x14ac:dyDescent="0.3">
      <c r="B11" s="15" t="s">
        <v>904</v>
      </c>
      <c r="C11">
        <v>32.04186</v>
      </c>
      <c r="D11" s="7" t="s">
        <v>483</v>
      </c>
      <c r="E11" s="7" t="s">
        <v>905</v>
      </c>
    </row>
    <row r="12" spans="1:5" x14ac:dyDescent="0.3">
      <c r="A12" s="7">
        <v>1</v>
      </c>
      <c r="B12" s="7" t="s">
        <v>593</v>
      </c>
      <c r="C12" s="7">
        <v>4.1867999999999999</v>
      </c>
      <c r="D12" s="7" t="s">
        <v>594</v>
      </c>
    </row>
    <row r="13" spans="1:5" x14ac:dyDescent="0.3">
      <c r="A13" s="7">
        <v>1</v>
      </c>
      <c r="B13" s="7" t="s">
        <v>593</v>
      </c>
      <c r="C13" s="7">
        <f>C12/3600</f>
        <v>1.163E-3</v>
      </c>
      <c r="D13" s="7" t="s">
        <v>584</v>
      </c>
    </row>
    <row r="14" spans="1:5" x14ac:dyDescent="0.3">
      <c r="A14" s="7">
        <v>1</v>
      </c>
      <c r="B14" s="7" t="s">
        <v>595</v>
      </c>
      <c r="C14" s="7">
        <f>44.01/14.0266</f>
        <v>3.1376099696291329</v>
      </c>
      <c r="D14" s="7" t="s">
        <v>596</v>
      </c>
    </row>
    <row r="15" spans="1:5" x14ac:dyDescent="0.3">
      <c r="A15" s="7">
        <v>1</v>
      </c>
      <c r="B15" s="7" t="s">
        <v>876</v>
      </c>
      <c r="C15" s="7">
        <f>6*44.01</f>
        <v>264.06</v>
      </c>
      <c r="D15" s="7" t="s">
        <v>596</v>
      </c>
    </row>
    <row r="16" spans="1:5" x14ac:dyDescent="0.3">
      <c r="A16" s="7">
        <v>1</v>
      </c>
      <c r="B16" s="7" t="s">
        <v>877</v>
      </c>
      <c r="C16">
        <f>C6*6/C9</f>
        <v>1.6285865477246291</v>
      </c>
      <c r="D16" s="7" t="s">
        <v>596</v>
      </c>
    </row>
    <row r="17" spans="1:5" x14ac:dyDescent="0.3">
      <c r="A17" s="7">
        <v>1</v>
      </c>
      <c r="B17" s="7" t="s">
        <v>898</v>
      </c>
      <c r="C17" s="7">
        <v>6.3888888888888893</v>
      </c>
      <c r="D17" s="7" t="s">
        <v>584</v>
      </c>
      <c r="E17" s="7" t="s">
        <v>1070</v>
      </c>
    </row>
  </sheetData>
  <sheetProtection password="F8DD" sheet="1" objects="1" scenarios="1"/>
  <customSheetViews>
    <customSheetView guid="{19166E14-FA2C-4A8E-94B4-58FB50E3C2AB}">
      <selection activeCell="C1" sqref="C1"/>
      <pageMargins left="0.7" right="0.7" top="0.78740157499999996" bottom="0.78740157499999996" header="0.3" footer="0.3"/>
    </customSheetView>
    <customSheetView guid="{A04E2617-7092-4ACA-9C80-BFC49C4921F8}">
      <selection activeCell="C1" sqref="C1"/>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B2"/>
  <sheetViews>
    <sheetView workbookViewId="0">
      <selection activeCell="B1" sqref="B1"/>
    </sheetView>
  </sheetViews>
  <sheetFormatPr defaultColWidth="11.5546875" defaultRowHeight="14.4" x14ac:dyDescent="0.3"/>
  <cols>
    <col min="2" max="2" width="19" customWidth="1"/>
  </cols>
  <sheetData>
    <row r="1" spans="1:2" x14ac:dyDescent="0.3">
      <c r="A1" s="15" t="s">
        <v>597</v>
      </c>
      <c r="B1" s="139">
        <v>45291.999988425923</v>
      </c>
    </row>
    <row r="2" spans="1:2" x14ac:dyDescent="0.3">
      <c r="A2" s="15"/>
      <c r="B2" s="139">
        <f ca="1">NOW()</f>
        <v>44823.810770949072</v>
      </c>
    </row>
  </sheetData>
  <customSheetViews>
    <customSheetView guid="{19166E14-FA2C-4A8E-94B4-58FB50E3C2AB}">
      <selection activeCell="B5" sqref="B5"/>
      <pageMargins left="0.7" right="0.7" top="0.78740157499999996" bottom="0.78740157499999996" header="0.3" footer="0.3"/>
    </customSheetView>
    <customSheetView guid="{A04E2617-7092-4ACA-9C80-BFC49C4921F8}">
      <selection activeCell="B5" sqref="B5"/>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29"/>
  <sheetViews>
    <sheetView topLeftCell="A14" workbookViewId="0">
      <selection activeCell="A25" sqref="A25"/>
    </sheetView>
  </sheetViews>
  <sheetFormatPr defaultColWidth="11.5546875" defaultRowHeight="14.4" x14ac:dyDescent="0.3"/>
  <cols>
    <col min="1" max="1" width="131.6640625" style="283" customWidth="1"/>
  </cols>
  <sheetData>
    <row r="1" spans="1:1" ht="21" x14ac:dyDescent="0.4">
      <c r="A1" s="282" t="str">
        <f ca="1">texts!A202</f>
        <v>how to use</v>
      </c>
    </row>
    <row r="2" spans="1:1" ht="288" x14ac:dyDescent="0.3">
      <c r="A2" s="283" t="str">
        <f ca="1">texts!A203</f>
        <v>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v>
      </c>
    </row>
    <row r="3" spans="1:1" ht="100.8" x14ac:dyDescent="0.3">
      <c r="A3" s="283" t="str">
        <f ca="1">texts!A204</f>
        <v>"World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v>
      </c>
    </row>
    <row r="4" spans="1:1" ht="43.2" x14ac:dyDescent="0.3">
      <c r="A4" s="283" t="str">
        <f ca="1">texts!A205</f>
        <v>"Upper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v>
      </c>
    </row>
    <row r="5" spans="1:1" ht="86.4" x14ac:dyDescent="0.3">
      <c r="A5" s="283" t="str">
        <f ca="1">texts!A206</f>
        <v>"Year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v>
      </c>
    </row>
    <row r="6" spans="1:1" ht="28.8" x14ac:dyDescent="0.3">
      <c r="A6" s="283" t="str">
        <f ca="1">texts!A207</f>
        <v>"Growth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v>
      </c>
    </row>
    <row r="7" spans="1:1" ht="100.8" x14ac:dyDescent="0.3">
      <c r="A7" s="283" t="str">
        <f ca="1">texts!A208</f>
        <v>"Limit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v>
      </c>
    </row>
    <row r="8" spans="1:1" ht="43.2" x14ac:dyDescent="0.3">
      <c r="A8" s="283" t="str">
        <f ca="1">texts!A209</f>
        <v>"Fraction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v>
      </c>
    </row>
    <row r="9" spans="1:1" ht="115.2" x14ac:dyDescent="0.3">
      <c r="A9" s="283" t="str">
        <f ca="1">texts!A210</f>
        <v>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v>
      </c>
    </row>
    <row r="10" spans="1:1" ht="57.6" x14ac:dyDescent="0.3">
      <c r="A10" s="283" t="str">
        <f ca="1">texts!A211</f>
        <v>"Fraction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v>
      </c>
    </row>
    <row r="11" spans="1:1" ht="86.4" x14ac:dyDescent="0.3">
      <c r="A11" s="283" t="str">
        <f ca="1">texts!A212</f>
        <v>"Fraction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v>
      </c>
    </row>
    <row r="12" spans="1:1" ht="57.6" x14ac:dyDescent="0.3">
      <c r="A12" s="283" t="str">
        <f ca="1">texts!A213</f>
        <v>"Intensification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v>
      </c>
    </row>
    <row r="13" spans="1:1" ht="57.6" x14ac:dyDescent="0.3">
      <c r="A13" s="283" t="str">
        <f ca="1">texts!A214</f>
        <v>"Intensification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v>
      </c>
    </row>
    <row r="14" spans="1:1" ht="28.8" x14ac:dyDescent="0.3">
      <c r="A14" s="283" t="str">
        <f ca="1">texts!A215</f>
        <v>"Fraction of cropland with organic farming" allows to account for more sustainable farming, where today the global fraction is around 4 %. Sustainable farming reduces the productivity per land area by roughly 15 %.</v>
      </c>
    </row>
    <row r="15" spans="1:1" ht="43.2" x14ac:dyDescent="0.3">
      <c r="A15" s="283" t="str">
        <f ca="1">texts!A216</f>
        <v>"Fraction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v>
      </c>
    </row>
    <row r="16" spans="1:1" ht="57.6" x14ac:dyDescent="0.3">
      <c r="A16" s="283" t="str">
        <f ca="1">texts!A217</f>
        <v>"Fraction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v>
      </c>
    </row>
    <row r="17" spans="1:1" ht="43.2" x14ac:dyDescent="0.3">
      <c r="A17" s="283" t="str">
        <f ca="1">texts!A218</f>
        <v>"Certainty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v>
      </c>
    </row>
    <row r="18" spans="1:1" ht="21" x14ac:dyDescent="0.4">
      <c r="A18" s="282" t="str">
        <f ca="1">texts!A219</f>
        <v>Copyright</v>
      </c>
    </row>
    <row r="19" spans="1:1" ht="28.8" x14ac:dyDescent="0.3">
      <c r="A19" s="284" t="str">
        <f ca="1">texts!A220</f>
        <v>This excel file is supplied under the following license: Attribution-NonCommercial-ShareAlike 4.0 International (CC BY-NC-SA 4.0). This also applies for data that are generated with this excel.</v>
      </c>
    </row>
    <row r="20" spans="1:1" ht="28.8" x14ac:dyDescent="0.3">
      <c r="A20" s="284" t="str">
        <f ca="1">texts!A221</f>
        <v>Attribution, citation: Balance Based World Scenarios, Andreas Pfennig, University of Liège, Department of Chemical Engineering, https://www.chemeng.uliege.be/Pfennig, www.vision3000.eu</v>
      </c>
    </row>
    <row r="21" spans="1:1" x14ac:dyDescent="0.3">
      <c r="A21" s="285" t="s">
        <v>798</v>
      </c>
    </row>
    <row r="22" spans="1:1" x14ac:dyDescent="0.3">
      <c r="A22" s="285" t="s">
        <v>799</v>
      </c>
    </row>
    <row r="23" spans="1:1" x14ac:dyDescent="0.3">
      <c r="A23" s="283" t="str">
        <f ca="1">texts!A222</f>
        <v>Note: This is a collection of some basic notes on how to use this excel and some assumptions. The background can be found in:</v>
      </c>
    </row>
    <row r="24" spans="1:1" x14ac:dyDescent="0.3">
      <c r="A24" s="283" t="s">
        <v>800</v>
      </c>
    </row>
    <row r="25" spans="1:1" x14ac:dyDescent="0.3">
      <c r="A25" s="285" t="s">
        <v>801</v>
      </c>
    </row>
    <row r="26" spans="1:1" x14ac:dyDescent="0.3">
      <c r="A26" s="283" t="s">
        <v>802</v>
      </c>
    </row>
    <row r="27" spans="1:1" x14ac:dyDescent="0.3">
      <c r="A27" s="285" t="s">
        <v>803</v>
      </c>
    </row>
    <row r="28" spans="1:1" ht="21" x14ac:dyDescent="0.4">
      <c r="A28" s="282" t="str">
        <f ca="1">texts!A271</f>
        <v>acknowledgements</v>
      </c>
    </row>
    <row r="29" spans="1:1" ht="28.8" x14ac:dyDescent="0.3">
      <c r="A29" s="283" t="str">
        <f ca="1">texts!A272</f>
        <v>I would like to thank Dr. Alexander Graf for the very detailed discussion on the consequences of afforestation and Dr. Peter Klafka for helpful discussions on renewable energies.</v>
      </c>
    </row>
  </sheetData>
  <sheetProtection password="F8DD" sheet="1" selectLockedCells="1"/>
  <customSheetViews>
    <customSheetView guid="{19166E14-FA2C-4A8E-94B4-58FB50E3C2AB}">
      <selection activeCell="A2" sqref="A2"/>
      <pageMargins left="0.7" right="0.7" top="0.78740157499999996" bottom="0.78740157499999996" header="0.3" footer="0.3"/>
    </customSheetView>
    <customSheetView guid="{A04E2617-7092-4ACA-9C80-BFC49C4921F8}">
      <selection activeCell="A2" sqref="A2"/>
      <pageMargins left="0.7" right="0.7" top="0.78740157499999996" bottom="0.78740157499999996" header="0.3" footer="0.3"/>
    </customSheetView>
  </customSheetViews>
  <hyperlinks>
    <hyperlink ref="A27" r:id="rId1" xr:uid="{00000000-0004-0000-0100-000000000000}"/>
    <hyperlink ref="A25" r:id="rId2" xr:uid="{00000000-0004-0000-0100-000001000000}"/>
    <hyperlink ref="A21" r:id="rId3" xr:uid="{00000000-0004-0000-0100-000002000000}"/>
    <hyperlink ref="A22" r:id="rId4" xr:uid="{00000000-0004-0000-0100-000003000000}"/>
  </hyperlinks>
  <pageMargins left="0.7" right="0.7" top="0.78740157499999996" bottom="0.78740157499999996"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49"/>
  <sheetViews>
    <sheetView topLeftCell="A13" workbookViewId="0">
      <selection activeCell="G13" sqref="G13:G27"/>
    </sheetView>
  </sheetViews>
  <sheetFormatPr defaultColWidth="11.5546875" defaultRowHeight="15.6" x14ac:dyDescent="0.3"/>
  <cols>
    <col min="1" max="1" width="70.6640625" style="21" customWidth="1"/>
    <col min="2" max="6" width="4.5546875" style="274" customWidth="1"/>
    <col min="7" max="15" width="4.5546875" style="339" customWidth="1"/>
    <col min="16" max="16" width="64.6640625" style="21" customWidth="1"/>
  </cols>
  <sheetData>
    <row r="1" spans="1:16" s="1" customFormat="1" ht="18" x14ac:dyDescent="0.35">
      <c r="A1" s="268" t="str">
        <f ca="1">texts!A225</f>
        <v>description</v>
      </c>
      <c r="B1" s="269" t="str">
        <f ca="1">texts!A226</f>
        <v>settings to be copied into the red cells of the 'control' sheet</v>
      </c>
      <c r="C1" s="269"/>
      <c r="D1" s="269"/>
      <c r="E1" s="269"/>
      <c r="F1" s="269"/>
      <c r="G1" s="336"/>
      <c r="H1" s="336"/>
      <c r="I1" s="336"/>
      <c r="J1" s="336"/>
      <c r="K1" s="336"/>
      <c r="L1" s="336"/>
      <c r="M1" s="336"/>
      <c r="N1" s="336"/>
      <c r="O1" s="336"/>
      <c r="P1" s="268" t="str">
        <f ca="1">texts!A227</f>
        <v>comments</v>
      </c>
    </row>
    <row r="2" spans="1:16" s="1" customFormat="1" ht="259.2" x14ac:dyDescent="0.35">
      <c r="A2" s="335" t="str">
        <f ca="1">texts!A305</f>
        <v>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v>
      </c>
      <c r="B2" s="269"/>
      <c r="C2" s="269"/>
      <c r="D2" s="269"/>
      <c r="E2" s="269"/>
      <c r="F2" s="269"/>
      <c r="G2" s="336"/>
      <c r="H2" s="336"/>
      <c r="I2" s="336"/>
      <c r="J2" s="336"/>
      <c r="K2" s="336"/>
      <c r="L2" s="336"/>
      <c r="M2" s="336"/>
      <c r="N2" s="336"/>
      <c r="O2" s="336"/>
      <c r="P2" s="268"/>
    </row>
    <row r="3" spans="1:16" ht="43.2" x14ac:dyDescent="0.3">
      <c r="A3" s="21" t="str">
        <f ca="1">texts!A228</f>
        <v>Standard scenario with business as usual</v>
      </c>
      <c r="B3" s="270" t="s">
        <v>796</v>
      </c>
      <c r="C3" s="270" t="s">
        <v>796</v>
      </c>
      <c r="D3" s="270" t="s">
        <v>796</v>
      </c>
      <c r="E3" s="270" t="s">
        <v>796</v>
      </c>
      <c r="F3" s="270" t="s">
        <v>796</v>
      </c>
      <c r="G3" s="337" t="s">
        <v>796</v>
      </c>
      <c r="H3" s="337" t="s">
        <v>796</v>
      </c>
      <c r="I3" s="337" t="s">
        <v>796</v>
      </c>
      <c r="J3" s="337" t="s">
        <v>796</v>
      </c>
      <c r="K3" s="337" t="s">
        <v>796</v>
      </c>
      <c r="L3" s="337" t="s">
        <v>796</v>
      </c>
      <c r="M3" s="337" t="s">
        <v>796</v>
      </c>
      <c r="N3" s="338" t="s">
        <v>797</v>
      </c>
      <c r="O3" s="272">
        <v>75</v>
      </c>
      <c r="P3" s="21" t="str">
        <f ca="1">texts!A238</f>
        <v>temperature increase above 4 °C above preindustrial, still increasing in 2100, the agriculture is not sustainable, the food shortage is partly more pronounced than today</v>
      </c>
    </row>
    <row r="4" spans="1:16" ht="28.8" x14ac:dyDescent="0.3">
      <c r="A4" s="21" t="str">
        <f ca="1">texts!A229</f>
        <v>A scenario where additionally the efforts for sustainable-energy transition are maximized starting 2025 so as to minimize climate change</v>
      </c>
      <c r="B4" s="270" t="s">
        <v>796</v>
      </c>
      <c r="C4" s="270" t="s">
        <v>796</v>
      </c>
      <c r="D4" s="270" t="s">
        <v>796</v>
      </c>
      <c r="E4" s="270" t="s">
        <v>796</v>
      </c>
      <c r="F4" s="270" t="s">
        <v>796</v>
      </c>
      <c r="G4" s="337" t="s">
        <v>796</v>
      </c>
      <c r="H4" s="337" t="s">
        <v>796</v>
      </c>
      <c r="I4" s="337" t="s">
        <v>796</v>
      </c>
      <c r="J4" s="337" t="s">
        <v>796</v>
      </c>
      <c r="K4" s="337" t="s">
        <v>796</v>
      </c>
      <c r="L4" s="337" t="s">
        <v>796</v>
      </c>
      <c r="M4" s="338" t="s">
        <v>797</v>
      </c>
      <c r="N4" s="272">
        <v>75</v>
      </c>
      <c r="O4" s="272">
        <v>68</v>
      </c>
      <c r="P4" s="21" t="str">
        <f ca="1">texts!A239</f>
        <v>temperature increase to 1.75 °C, stabilized by 2100, but still not enough food for everybody, agriculture is not sustainable</v>
      </c>
    </row>
    <row r="5" spans="1:16" ht="28.8" x14ac:dyDescent="0.3">
      <c r="A5" s="21" t="str">
        <f ca="1">texts!A230</f>
        <v>A scenario where sustainable-energy transition is intensified and additionally sustainability is accounted for in agriculture</v>
      </c>
      <c r="B5" s="270" t="s">
        <v>796</v>
      </c>
      <c r="C5" s="270" t="s">
        <v>796</v>
      </c>
      <c r="D5" s="270" t="s">
        <v>796</v>
      </c>
      <c r="E5" s="270" t="s">
        <v>796</v>
      </c>
      <c r="F5" s="270" t="s">
        <v>796</v>
      </c>
      <c r="G5" s="337" t="s">
        <v>796</v>
      </c>
      <c r="H5" s="337" t="s">
        <v>796</v>
      </c>
      <c r="I5" s="337" t="s">
        <v>796</v>
      </c>
      <c r="J5" s="337" t="s">
        <v>796</v>
      </c>
      <c r="K5" s="337" t="s">
        <v>796</v>
      </c>
      <c r="L5" s="338" t="s">
        <v>797</v>
      </c>
      <c r="M5" s="272">
        <v>75</v>
      </c>
      <c r="N5" s="272">
        <v>50</v>
      </c>
      <c r="O5" s="272">
        <v>30</v>
      </c>
      <c r="P5" s="21" t="str">
        <f ca="1">texts!A240</f>
        <v>intensifying sustainable energy transition limits temperature to 1.61°C but sustainable farming increases food shortage</v>
      </c>
    </row>
    <row r="6" spans="1:16" ht="28.8" x14ac:dyDescent="0.3">
      <c r="A6" s="21" t="str">
        <f ca="1">texts!A231</f>
        <v>Scenario with additional shift to vegetarian nutrition</v>
      </c>
      <c r="B6" s="270" t="s">
        <v>796</v>
      </c>
      <c r="C6" s="270" t="s">
        <v>796</v>
      </c>
      <c r="D6" s="270" t="s">
        <v>796</v>
      </c>
      <c r="E6" s="270" t="s">
        <v>796</v>
      </c>
      <c r="F6" s="270" t="s">
        <v>796</v>
      </c>
      <c r="G6" s="337" t="s">
        <v>796</v>
      </c>
      <c r="H6" s="337" t="s">
        <v>796</v>
      </c>
      <c r="I6" s="337" t="s">
        <v>796</v>
      </c>
      <c r="J6" s="337" t="s">
        <v>796</v>
      </c>
      <c r="K6" s="338" t="s">
        <v>797</v>
      </c>
      <c r="L6" s="272">
        <v>75</v>
      </c>
      <c r="M6" s="272">
        <v>50</v>
      </c>
      <c r="N6" s="272">
        <v>5</v>
      </c>
      <c r="O6" s="272">
        <v>10</v>
      </c>
      <c r="P6" s="21" t="str">
        <f ca="1">texts!A241</f>
        <v>temperature increase of 1.61°C but not decreasing in 2100, sufficient food for everybody</v>
      </c>
    </row>
    <row r="7" spans="1:16" ht="28.8" x14ac:dyDescent="0.3">
      <c r="A7" s="21" t="str">
        <f ca="1">texts!A232</f>
        <v>Scenario with afforestation maximized and significant contribution of BECCS/alternative at a high level</v>
      </c>
      <c r="B7" s="270" t="s">
        <v>796</v>
      </c>
      <c r="C7" s="270" t="s">
        <v>796</v>
      </c>
      <c r="D7" s="270" t="s">
        <v>796</v>
      </c>
      <c r="E7" s="270" t="s">
        <v>796</v>
      </c>
      <c r="F7" s="270" t="s">
        <v>796</v>
      </c>
      <c r="G7" s="337" t="s">
        <v>796</v>
      </c>
      <c r="H7" s="337" t="s">
        <v>796</v>
      </c>
      <c r="I7" s="337" t="s">
        <v>796</v>
      </c>
      <c r="J7" s="338" t="s">
        <v>797</v>
      </c>
      <c r="K7" s="272">
        <v>75</v>
      </c>
      <c r="L7" s="272">
        <v>50</v>
      </c>
      <c r="M7" s="272">
        <v>1</v>
      </c>
      <c r="N7" s="272">
        <v>10</v>
      </c>
      <c r="O7" s="272">
        <v>5</v>
      </c>
      <c r="P7" s="21" t="str">
        <f ca="1">texts!A242</f>
        <v>temperature comes to below 1.2° C by 2100, still decreasing, but now food supply is no longer sufficient</v>
      </c>
    </row>
    <row r="8" spans="1:16" ht="43.2" x14ac:dyDescent="0.3">
      <c r="A8" s="21" t="str">
        <f ca="1">texts!A233</f>
        <v>Scenario where additionally fraction of animal-based food is decreased such that enough food is available for everybody, which means only a marginal fraction of animal-based nutrition below 1 %.</v>
      </c>
      <c r="B8" s="270" t="s">
        <v>796</v>
      </c>
      <c r="C8" s="270" t="s">
        <v>796</v>
      </c>
      <c r="D8" s="270" t="s">
        <v>796</v>
      </c>
      <c r="E8" s="270" t="s">
        <v>796</v>
      </c>
      <c r="F8" s="270" t="s">
        <v>796</v>
      </c>
      <c r="G8" s="337" t="s">
        <v>796</v>
      </c>
      <c r="H8" s="337" t="s">
        <v>796</v>
      </c>
      <c r="I8" s="338" t="s">
        <v>797</v>
      </c>
      <c r="J8" s="272">
        <v>75</v>
      </c>
      <c r="K8" s="272">
        <v>50</v>
      </c>
      <c r="L8" s="272">
        <v>1</v>
      </c>
      <c r="M8" s="272">
        <v>20</v>
      </c>
      <c r="N8" s="272">
        <v>35</v>
      </c>
      <c r="O8" s="272">
        <v>50</v>
      </c>
      <c r="P8" s="21" t="str">
        <f ca="1">texts!A243</f>
        <v>temperature is still controlled as before but now food is sufficient to feed everybody</v>
      </c>
    </row>
    <row r="9" spans="1:16" ht="72" x14ac:dyDescent="0.3">
      <c r="A9" s="273" t="str">
        <f ca="1">texts!A234</f>
        <v>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v>
      </c>
      <c r="B9" s="270"/>
      <c r="C9" s="270"/>
      <c r="D9" s="270"/>
      <c r="E9" s="270"/>
      <c r="F9" s="270"/>
      <c r="G9" s="337"/>
      <c r="H9" s="338"/>
      <c r="J9" s="272">
        <v>50</v>
      </c>
      <c r="K9" s="272">
        <v>1</v>
      </c>
      <c r="L9" s="272">
        <v>20</v>
      </c>
      <c r="M9" s="272">
        <v>35</v>
      </c>
      <c r="N9" s="272">
        <v>50</v>
      </c>
      <c r="O9" s="272">
        <v>0</v>
      </c>
    </row>
    <row r="10" spans="1:16" ht="28.8" x14ac:dyDescent="0.3">
      <c r="A10" s="21" t="str">
        <f ca="1">texts!A235</f>
        <v>Scenario as before with high population variant</v>
      </c>
      <c r="B10" s="270" t="s">
        <v>796</v>
      </c>
      <c r="C10" s="270" t="s">
        <v>796</v>
      </c>
      <c r="D10" s="270" t="s">
        <v>796</v>
      </c>
      <c r="E10" s="270" t="s">
        <v>796</v>
      </c>
      <c r="F10" s="270" t="s">
        <v>796</v>
      </c>
      <c r="G10" s="337" t="s">
        <v>796</v>
      </c>
      <c r="H10" s="338" t="s">
        <v>797</v>
      </c>
      <c r="I10" s="272">
        <v>100</v>
      </c>
      <c r="J10" s="272">
        <v>1</v>
      </c>
      <c r="K10" s="272">
        <v>20</v>
      </c>
      <c r="L10" s="272">
        <v>35</v>
      </c>
      <c r="M10" s="272">
        <v>50</v>
      </c>
      <c r="N10" s="272">
        <v>0</v>
      </c>
      <c r="O10" s="272">
        <v>0</v>
      </c>
      <c r="P10" s="21" t="str">
        <f ca="1">texts!A244</f>
        <v>temperature is essentially unchanged, but now food is again not sufficient to feed everybody</v>
      </c>
    </row>
    <row r="11" spans="1:16" ht="43.2" x14ac:dyDescent="0.3">
      <c r="A11" s="21" t="str">
        <f ca="1">texts!A236</f>
        <v>Scenario as before but with vegan nutrition</v>
      </c>
      <c r="B11" s="270" t="s">
        <v>796</v>
      </c>
      <c r="C11" s="270" t="s">
        <v>796</v>
      </c>
      <c r="D11" s="270" t="s">
        <v>796</v>
      </c>
      <c r="E11" s="270" t="s">
        <v>796</v>
      </c>
      <c r="F11" s="270" t="s">
        <v>796</v>
      </c>
      <c r="G11" s="338" t="s">
        <v>797</v>
      </c>
      <c r="H11" s="272">
        <v>100</v>
      </c>
      <c r="I11" s="272">
        <v>50</v>
      </c>
      <c r="J11" s="272">
        <v>20</v>
      </c>
      <c r="K11" s="272">
        <v>35</v>
      </c>
      <c r="L11" s="272">
        <v>50</v>
      </c>
      <c r="M11" s="272">
        <v>0</v>
      </c>
      <c r="N11" s="272">
        <v>0</v>
      </c>
      <c r="O11" s="272">
        <v>70</v>
      </c>
      <c r="P11" s="21" t="str">
        <f ca="1">texts!A245</f>
        <v>temperature is controlled, but even with vegan nutrition not enough food is available, also we utilize the complete available land area completely, thus, there remains no distance to the planetary boundaries</v>
      </c>
    </row>
    <row r="12" spans="1:16" ht="187.2" x14ac:dyDescent="0.3">
      <c r="A12" s="275" t="str">
        <f ca="1">texts!A237</f>
        <v>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v>
      </c>
      <c r="B12" s="276"/>
      <c r="C12" s="276"/>
      <c r="D12" s="276"/>
      <c r="E12" s="276"/>
      <c r="F12" s="277"/>
      <c r="G12" s="278"/>
      <c r="H12" s="272">
        <v>50</v>
      </c>
      <c r="I12" s="272">
        <v>1</v>
      </c>
      <c r="J12" s="272">
        <v>35</v>
      </c>
      <c r="K12" s="272">
        <v>50</v>
      </c>
      <c r="L12" s="272">
        <v>0</v>
      </c>
      <c r="M12" s="272">
        <v>0</v>
      </c>
      <c r="N12" s="272">
        <v>70</v>
      </c>
      <c r="O12" s="272">
        <v>100</v>
      </c>
    </row>
    <row r="13" spans="1:16" ht="187.2" x14ac:dyDescent="0.3">
      <c r="A13" s="279" t="str">
        <f ca="1">texts!A279</f>
        <v>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v>
      </c>
      <c r="B13" s="270" t="s">
        <v>796</v>
      </c>
      <c r="C13" s="270" t="s">
        <v>796</v>
      </c>
      <c r="D13" s="270" t="s">
        <v>796</v>
      </c>
      <c r="E13" s="270" t="s">
        <v>796</v>
      </c>
      <c r="F13" s="271" t="s">
        <v>797</v>
      </c>
      <c r="G13" s="272">
        <v>75</v>
      </c>
      <c r="H13" s="272">
        <v>1</v>
      </c>
      <c r="I13" s="272">
        <v>20</v>
      </c>
      <c r="J13" s="272">
        <v>50</v>
      </c>
      <c r="K13" s="272">
        <v>40</v>
      </c>
      <c r="L13" s="272">
        <v>0</v>
      </c>
      <c r="M13" s="272">
        <v>70</v>
      </c>
      <c r="N13" s="272">
        <v>100</v>
      </c>
      <c r="O13" s="272">
        <v>100</v>
      </c>
    </row>
    <row r="14" spans="1:16" x14ac:dyDescent="0.3">
      <c r="G14" s="272">
        <v>50</v>
      </c>
      <c r="H14" s="272">
        <v>20</v>
      </c>
      <c r="I14" s="272">
        <v>35</v>
      </c>
      <c r="J14" s="272">
        <v>40</v>
      </c>
      <c r="K14" s="272">
        <v>0</v>
      </c>
      <c r="L14" s="272">
        <v>20</v>
      </c>
      <c r="M14" s="272">
        <v>90</v>
      </c>
      <c r="N14" s="272">
        <v>100</v>
      </c>
      <c r="O14" s="272">
        <v>0</v>
      </c>
    </row>
    <row r="15" spans="1:16" x14ac:dyDescent="0.3">
      <c r="G15" s="272">
        <v>1</v>
      </c>
      <c r="H15" s="272">
        <v>35</v>
      </c>
      <c r="I15" s="272">
        <v>50</v>
      </c>
      <c r="J15" s="272">
        <v>0</v>
      </c>
      <c r="K15" s="272">
        <v>20</v>
      </c>
      <c r="L15" s="272">
        <v>90</v>
      </c>
      <c r="M15" s="272">
        <v>90</v>
      </c>
      <c r="N15" s="272">
        <v>0</v>
      </c>
      <c r="O15" s="272">
        <v>0</v>
      </c>
    </row>
    <row r="16" spans="1:16" x14ac:dyDescent="0.3">
      <c r="G16" s="272">
        <v>10</v>
      </c>
      <c r="H16" s="272">
        <v>50</v>
      </c>
      <c r="I16" s="272">
        <v>40</v>
      </c>
      <c r="J16" s="272">
        <v>2</v>
      </c>
      <c r="K16" s="272">
        <v>90</v>
      </c>
      <c r="L16" s="272">
        <v>90</v>
      </c>
      <c r="M16" s="272">
        <v>100</v>
      </c>
      <c r="N16" s="272">
        <v>0</v>
      </c>
      <c r="O16" s="272">
        <v>0</v>
      </c>
    </row>
    <row r="17" spans="2:16" x14ac:dyDescent="0.3">
      <c r="G17" s="272">
        <v>25</v>
      </c>
      <c r="H17" s="272">
        <v>40</v>
      </c>
      <c r="I17" s="272">
        <v>0</v>
      </c>
      <c r="J17" s="272">
        <v>90</v>
      </c>
      <c r="K17" s="272">
        <v>90</v>
      </c>
      <c r="L17" s="272">
        <v>100</v>
      </c>
      <c r="M17" s="272">
        <v>12</v>
      </c>
      <c r="N17" s="272">
        <v>0</v>
      </c>
      <c r="O17" s="340">
        <v>50</v>
      </c>
    </row>
    <row r="18" spans="2:16" x14ac:dyDescent="0.3">
      <c r="G18" s="272">
        <v>50</v>
      </c>
      <c r="H18" s="272">
        <v>0</v>
      </c>
      <c r="I18" s="272">
        <v>2</v>
      </c>
      <c r="J18" s="272">
        <v>90</v>
      </c>
      <c r="K18" s="272">
        <v>100</v>
      </c>
      <c r="L18" s="272">
        <v>12</v>
      </c>
      <c r="M18" s="272">
        <v>0</v>
      </c>
      <c r="N18" s="272">
        <v>50</v>
      </c>
    </row>
    <row r="19" spans="2:16" x14ac:dyDescent="0.3">
      <c r="G19" s="272">
        <v>46</v>
      </c>
      <c r="H19" s="272">
        <v>0</v>
      </c>
      <c r="I19" s="272">
        <v>90</v>
      </c>
      <c r="J19" s="272">
        <v>100</v>
      </c>
      <c r="K19" s="272">
        <v>12</v>
      </c>
      <c r="L19" s="272">
        <v>0</v>
      </c>
      <c r="M19" s="340">
        <v>50</v>
      </c>
    </row>
    <row r="20" spans="2:16" x14ac:dyDescent="0.3">
      <c r="G20" s="272">
        <v>0</v>
      </c>
      <c r="H20" s="272">
        <v>90</v>
      </c>
      <c r="I20" s="272">
        <v>90</v>
      </c>
      <c r="J20" s="272">
        <v>12</v>
      </c>
      <c r="K20" s="272">
        <v>15</v>
      </c>
      <c r="L20" s="340">
        <v>50</v>
      </c>
    </row>
    <row r="21" spans="2:16" x14ac:dyDescent="0.3">
      <c r="G21" s="272">
        <v>0</v>
      </c>
      <c r="H21" s="272">
        <v>90</v>
      </c>
      <c r="I21" s="272">
        <v>100</v>
      </c>
      <c r="J21" s="272">
        <v>15</v>
      </c>
      <c r="K21" s="340">
        <v>50</v>
      </c>
    </row>
    <row r="22" spans="2:16" x14ac:dyDescent="0.3">
      <c r="G22" s="272">
        <v>90</v>
      </c>
      <c r="H22" s="272">
        <v>100</v>
      </c>
      <c r="I22" s="272">
        <v>12</v>
      </c>
      <c r="J22" s="340">
        <v>50</v>
      </c>
    </row>
    <row r="23" spans="2:16" x14ac:dyDescent="0.3">
      <c r="G23" s="272">
        <v>90</v>
      </c>
      <c r="H23" s="272">
        <v>12</v>
      </c>
      <c r="I23" s="272">
        <v>15</v>
      </c>
    </row>
    <row r="24" spans="2:16" x14ac:dyDescent="0.3">
      <c r="G24" s="272">
        <v>100</v>
      </c>
      <c r="H24" s="272">
        <v>15</v>
      </c>
      <c r="I24" s="340">
        <v>50</v>
      </c>
    </row>
    <row r="25" spans="2:16" x14ac:dyDescent="0.3">
      <c r="G25" s="272">
        <v>12</v>
      </c>
      <c r="H25" s="340">
        <v>50</v>
      </c>
    </row>
    <row r="26" spans="2:16" x14ac:dyDescent="0.3">
      <c r="G26" s="272">
        <v>15</v>
      </c>
      <c r="K26" s="341"/>
      <c r="L26" s="341"/>
      <c r="M26" s="341"/>
      <c r="N26" s="341"/>
      <c r="O26" s="341"/>
    </row>
    <row r="27" spans="2:16" x14ac:dyDescent="0.3">
      <c r="G27" s="340">
        <v>50</v>
      </c>
      <c r="K27" s="341"/>
      <c r="L27" s="341"/>
      <c r="M27" s="341"/>
      <c r="N27" s="341"/>
      <c r="O27" s="278"/>
    </row>
    <row r="28" spans="2:16" x14ac:dyDescent="0.3">
      <c r="G28" s="341"/>
      <c r="K28" s="341"/>
      <c r="L28" s="341"/>
      <c r="M28" s="341"/>
      <c r="N28" s="278"/>
      <c r="O28" s="278"/>
      <c r="P28" s="281"/>
    </row>
    <row r="29" spans="2:16" x14ac:dyDescent="0.3">
      <c r="B29" s="280"/>
      <c r="C29" s="278"/>
      <c r="D29" s="280"/>
      <c r="E29" s="280"/>
      <c r="F29" s="280"/>
      <c r="G29" s="341"/>
      <c r="K29" s="341"/>
      <c r="L29" s="341"/>
      <c r="M29" s="341"/>
      <c r="N29" s="278"/>
      <c r="O29" s="278"/>
      <c r="P29" s="281"/>
    </row>
    <row r="30" spans="2:16" x14ac:dyDescent="0.3">
      <c r="B30" s="280"/>
      <c r="C30" s="280"/>
      <c r="D30" s="280"/>
      <c r="E30" s="280"/>
      <c r="F30" s="280"/>
      <c r="K30" s="341"/>
      <c r="L30" s="341"/>
      <c r="M30" s="341"/>
      <c r="N30" s="278"/>
      <c r="O30" s="278"/>
      <c r="P30" s="281"/>
    </row>
    <row r="31" spans="2:16" x14ac:dyDescent="0.3">
      <c r="B31" s="280"/>
      <c r="C31" s="280"/>
      <c r="D31" s="280"/>
      <c r="E31" s="280"/>
      <c r="F31" s="280"/>
      <c r="K31" s="341"/>
      <c r="L31" s="341"/>
      <c r="M31" s="341"/>
      <c r="N31" s="278"/>
      <c r="O31" s="278"/>
      <c r="P31" s="281"/>
    </row>
    <row r="32" spans="2:16" x14ac:dyDescent="0.3">
      <c r="K32" s="341"/>
      <c r="L32" s="341"/>
      <c r="M32" s="341"/>
      <c r="N32" s="278"/>
      <c r="O32" s="278"/>
      <c r="P32" s="281"/>
    </row>
    <row r="33" spans="2:16" x14ac:dyDescent="0.3">
      <c r="J33" s="341"/>
      <c r="K33" s="341"/>
      <c r="L33" s="341"/>
      <c r="M33" s="278"/>
      <c r="N33" s="278"/>
      <c r="O33" s="342"/>
      <c r="P33" s="281"/>
    </row>
    <row r="34" spans="2:16" x14ac:dyDescent="0.3">
      <c r="J34" s="341"/>
      <c r="K34" s="341"/>
      <c r="L34" s="341"/>
      <c r="M34" s="278"/>
      <c r="N34" s="278"/>
      <c r="O34" s="342"/>
      <c r="P34" s="281"/>
    </row>
    <row r="35" spans="2:16" x14ac:dyDescent="0.3">
      <c r="B35" s="270"/>
      <c r="C35" s="270"/>
      <c r="D35" s="270"/>
      <c r="E35" s="270"/>
      <c r="F35" s="271"/>
      <c r="J35" s="341"/>
      <c r="K35" s="341"/>
      <c r="L35" s="341"/>
      <c r="M35" s="278"/>
      <c r="N35" s="278"/>
      <c r="O35" s="342"/>
      <c r="P35"/>
    </row>
    <row r="36" spans="2:16" x14ac:dyDescent="0.3">
      <c r="B36" s="280"/>
      <c r="C36" s="277"/>
      <c r="D36" s="278"/>
      <c r="E36" s="278"/>
      <c r="F36" s="278"/>
      <c r="J36" s="341"/>
      <c r="K36" s="341"/>
      <c r="L36" s="341"/>
      <c r="M36" s="278"/>
      <c r="N36" s="278"/>
      <c r="O36" s="342"/>
      <c r="P36"/>
    </row>
    <row r="37" spans="2:16" x14ac:dyDescent="0.3">
      <c r="B37" s="280"/>
      <c r="C37" s="278"/>
      <c r="D37" s="278"/>
      <c r="E37" s="278"/>
      <c r="F37" s="278"/>
      <c r="J37" s="341"/>
      <c r="K37" s="341"/>
      <c r="L37" s="341"/>
      <c r="M37" s="278"/>
      <c r="N37" s="278"/>
      <c r="O37" s="342"/>
      <c r="P37"/>
    </row>
    <row r="38" spans="2:16" x14ac:dyDescent="0.3">
      <c r="B38" s="280"/>
      <c r="C38" s="278"/>
      <c r="D38" s="278"/>
      <c r="E38" s="278"/>
      <c r="F38" s="278"/>
      <c r="J38" s="341"/>
      <c r="K38" s="341"/>
      <c r="L38" s="341"/>
      <c r="M38" s="278"/>
      <c r="N38" s="278"/>
      <c r="O38" s="342"/>
      <c r="P38"/>
    </row>
    <row r="39" spans="2:16" x14ac:dyDescent="0.3">
      <c r="B39" s="280"/>
      <c r="C39" s="278"/>
      <c r="D39" s="278"/>
      <c r="E39" s="278"/>
      <c r="F39" s="278"/>
      <c r="J39" s="341"/>
      <c r="K39" s="341"/>
      <c r="L39" s="341"/>
      <c r="M39" s="278"/>
      <c r="N39" s="278"/>
      <c r="O39" s="342"/>
      <c r="P39"/>
    </row>
    <row r="40" spans="2:16" x14ac:dyDescent="0.3">
      <c r="B40" s="280"/>
      <c r="C40" s="278"/>
      <c r="D40" s="278"/>
      <c r="E40" s="278"/>
      <c r="F40" s="278"/>
      <c r="J40" s="341"/>
      <c r="K40" s="341"/>
      <c r="L40" s="341"/>
      <c r="M40" s="278"/>
      <c r="N40" s="278"/>
      <c r="O40" s="342"/>
      <c r="P40"/>
    </row>
    <row r="41" spans="2:16" x14ac:dyDescent="0.3">
      <c r="B41" s="280"/>
      <c r="C41" s="278"/>
      <c r="D41" s="278"/>
      <c r="E41" s="278"/>
      <c r="F41" s="278"/>
      <c r="J41" s="341"/>
      <c r="K41" s="341"/>
      <c r="L41" s="341"/>
      <c r="M41" s="278"/>
      <c r="N41" s="341"/>
      <c r="O41" s="342"/>
      <c r="P41"/>
    </row>
    <row r="42" spans="2:16" x14ac:dyDescent="0.3">
      <c r="B42" s="280"/>
      <c r="C42" s="278"/>
      <c r="D42" s="278"/>
      <c r="E42" s="278"/>
      <c r="F42" s="278"/>
      <c r="J42" s="341"/>
      <c r="K42" s="341"/>
      <c r="L42" s="341"/>
      <c r="M42" s="341"/>
      <c r="N42" s="341"/>
      <c r="O42" s="342"/>
      <c r="P42"/>
    </row>
    <row r="43" spans="2:16" x14ac:dyDescent="0.3">
      <c r="B43" s="280"/>
      <c r="C43" s="278"/>
      <c r="D43" s="278"/>
      <c r="E43" s="278"/>
      <c r="F43" s="278"/>
      <c r="O43" s="343"/>
      <c r="P43"/>
    </row>
    <row r="44" spans="2:16" x14ac:dyDescent="0.3">
      <c r="B44" s="280"/>
      <c r="C44" s="278"/>
      <c r="D44" s="278"/>
      <c r="E44" s="278"/>
      <c r="F44" s="278"/>
      <c r="O44" s="343"/>
      <c r="P44"/>
    </row>
    <row r="45" spans="2:16" x14ac:dyDescent="0.3">
      <c r="B45" s="280"/>
      <c r="C45" s="278"/>
      <c r="D45" s="278"/>
      <c r="E45" s="278"/>
      <c r="F45" s="278"/>
      <c r="O45" s="343"/>
      <c r="P45"/>
    </row>
    <row r="46" spans="2:16" x14ac:dyDescent="0.3">
      <c r="B46" s="280"/>
      <c r="C46" s="278"/>
      <c r="D46" s="278"/>
      <c r="E46" s="278"/>
      <c r="F46" s="278"/>
      <c r="O46" s="343"/>
      <c r="P46"/>
    </row>
    <row r="47" spans="2:16" x14ac:dyDescent="0.3">
      <c r="B47" s="280"/>
      <c r="C47" s="278"/>
      <c r="D47" s="278"/>
      <c r="E47" s="278"/>
      <c r="F47" s="278"/>
      <c r="O47" s="343"/>
      <c r="P47"/>
    </row>
    <row r="48" spans="2:16" x14ac:dyDescent="0.3">
      <c r="B48" s="280"/>
      <c r="C48" s="278"/>
      <c r="D48" s="278"/>
      <c r="E48" s="278"/>
      <c r="F48" s="280"/>
      <c r="P48"/>
    </row>
    <row r="49" spans="2:16" x14ac:dyDescent="0.3">
      <c r="B49" s="280"/>
      <c r="C49" s="278"/>
      <c r="D49" s="278"/>
      <c r="E49" s="280"/>
      <c r="F49" s="280"/>
      <c r="P49"/>
    </row>
  </sheetData>
  <sheetProtection password="F8DD" sheet="1" objects="1" scenarios="1"/>
  <customSheetViews>
    <customSheetView guid="{19166E14-FA2C-4A8E-94B4-58FB50E3C2AB}" topLeftCell="A8">
      <selection activeCell="G25" sqref="G12:G25"/>
      <pageMargins left="0.7" right="0.7" top="0.78740157499999996" bottom="0.78740157499999996" header="0.3" footer="0.3"/>
    </customSheetView>
    <customSheetView guid="{A04E2617-7092-4ACA-9C80-BFC49C4921F8}" topLeftCell="A8">
      <selection activeCell="G25" sqref="G12:G25"/>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C22"/>
  <sheetViews>
    <sheetView workbookViewId="0">
      <selection activeCell="E24" sqref="E24"/>
    </sheetView>
  </sheetViews>
  <sheetFormatPr defaultColWidth="11.5546875" defaultRowHeight="14.4" x14ac:dyDescent="0.3"/>
  <cols>
    <col min="1" max="1" width="21.21875" customWidth="1"/>
    <col min="2" max="2" width="23.109375" customWidth="1"/>
  </cols>
  <sheetData>
    <row r="1" spans="1:3" ht="18" x14ac:dyDescent="0.35">
      <c r="A1" s="1" t="str">
        <f ca="1">texts!A246</f>
        <v>Sources</v>
      </c>
    </row>
    <row r="2" spans="1:3" x14ac:dyDescent="0.3">
      <c r="A2" t="str">
        <f ca="1">texts!A247</f>
        <v>world population</v>
      </c>
      <c r="C2" t="s">
        <v>0</v>
      </c>
    </row>
    <row r="3" spans="1:3" x14ac:dyDescent="0.3">
      <c r="C3" t="s">
        <v>1</v>
      </c>
    </row>
    <row r="4" spans="1:3" x14ac:dyDescent="0.3">
      <c r="C4" s="2" t="s">
        <v>2</v>
      </c>
    </row>
    <row r="5" spans="1:3" x14ac:dyDescent="0.3">
      <c r="A5" t="str">
        <f ca="1">texts!A248</f>
        <v>energy data</v>
      </c>
      <c r="C5" t="s">
        <v>3</v>
      </c>
    </row>
    <row r="6" spans="1:3" x14ac:dyDescent="0.3">
      <c r="C6" t="s">
        <v>4</v>
      </c>
    </row>
    <row r="7" spans="1:3" x14ac:dyDescent="0.3">
      <c r="C7" s="2" t="s">
        <v>5</v>
      </c>
    </row>
    <row r="8" spans="1:3" x14ac:dyDescent="0.3">
      <c r="A8" t="str">
        <f ca="1">texts!A249</f>
        <v>land area and agriculture</v>
      </c>
      <c r="C8" t="s">
        <v>6</v>
      </c>
    </row>
    <row r="9" spans="1:3" x14ac:dyDescent="0.3">
      <c r="C9" s="2" t="s">
        <v>7</v>
      </c>
    </row>
    <row r="10" spans="1:3" x14ac:dyDescent="0.3">
      <c r="C10" t="s">
        <v>8</v>
      </c>
    </row>
    <row r="11" spans="1:3" x14ac:dyDescent="0.3">
      <c r="A11" t="str">
        <f ca="1">texts!A250</f>
        <v>carbon balance</v>
      </c>
      <c r="C11" t="s">
        <v>9</v>
      </c>
    </row>
    <row r="12" spans="1:3" x14ac:dyDescent="0.3">
      <c r="C12" s="2" t="s">
        <v>10</v>
      </c>
    </row>
    <row r="13" spans="1:3" ht="72" x14ac:dyDescent="0.3">
      <c r="B13" s="3" t="str">
        <f ca="1">texts!A254</f>
        <v>accumulated data are shifted to match IPCC data from Table 2-2 on accumulated budget at the end of 2017 in</v>
      </c>
      <c r="C13" t="s">
        <v>11</v>
      </c>
    </row>
    <row r="14" spans="1:3" x14ac:dyDescent="0.3">
      <c r="B14" s="3"/>
      <c r="C14" s="2" t="s">
        <v>12</v>
      </c>
    </row>
    <row r="15" spans="1:3" x14ac:dyDescent="0.3">
      <c r="B15" s="3"/>
      <c r="C15" t="s">
        <v>13</v>
      </c>
    </row>
    <row r="16" spans="1:3" x14ac:dyDescent="0.3">
      <c r="A16" t="str">
        <f ca="1">texts!A251</f>
        <v>primary energy demand</v>
      </c>
      <c r="B16" s="3"/>
      <c r="C16" t="s">
        <v>14</v>
      </c>
    </row>
    <row r="17" spans="1:3" x14ac:dyDescent="0.3">
      <c r="B17" s="3"/>
      <c r="C17" s="2" t="s">
        <v>15</v>
      </c>
    </row>
    <row r="18" spans="1:3" x14ac:dyDescent="0.3">
      <c r="A18" t="str">
        <f ca="1">texts!A278</f>
        <v>maximum CO2 capture capacity</v>
      </c>
      <c r="B18" s="3"/>
      <c r="C18" s="4" t="s">
        <v>16</v>
      </c>
    </row>
    <row r="19" spans="1:3" x14ac:dyDescent="0.3">
      <c r="B19" s="3"/>
      <c r="C19" s="4" t="s">
        <v>17</v>
      </c>
    </row>
    <row r="20" spans="1:3" x14ac:dyDescent="0.3">
      <c r="B20" s="3"/>
      <c r="C20" s="2" t="s">
        <v>18</v>
      </c>
    </row>
    <row r="21" spans="1:3" ht="28.8" x14ac:dyDescent="0.3">
      <c r="A21" t="str">
        <f ca="1">texts!A253</f>
        <v>CO2 to methanol</v>
      </c>
      <c r="B21" s="3" t="str">
        <f ca="1">texts!A255</f>
        <v>energy requirement relative to energy content</v>
      </c>
      <c r="C21" t="s">
        <v>19</v>
      </c>
    </row>
    <row r="22" spans="1:3" x14ac:dyDescent="0.3">
      <c r="C22" s="2" t="s">
        <v>20</v>
      </c>
    </row>
  </sheetData>
  <sheetProtection password="F8DD" sheet="1" objects="1" scenarios="1"/>
  <customSheetViews>
    <customSheetView guid="{19166E14-FA2C-4A8E-94B4-58FB50E3C2AB}">
      <selection activeCell="C11" sqref="C11"/>
      <pageMargins left="0.7" right="0.7" top="0.78740157499999996" bottom="0.78740157499999996" header="0.3" footer="0.3"/>
    </customSheetView>
    <customSheetView guid="{A04E2617-7092-4ACA-9C80-BFC49C4921F8}">
      <selection activeCell="C11" sqref="C11"/>
      <pageMargins left="0.7" right="0.7" top="0.78740157499999996" bottom="0.78740157499999996" header="0.3" footer="0.3"/>
    </customSheetView>
  </customSheetViews>
  <hyperlinks>
    <hyperlink ref="C4" r:id="rId1" xr:uid="{00000000-0004-0000-0300-000000000000}"/>
    <hyperlink ref="C7" r:id="rId2" xr:uid="{00000000-0004-0000-0300-000001000000}"/>
    <hyperlink ref="C12" r:id="rId3" xr:uid="{00000000-0004-0000-0300-000002000000}"/>
    <hyperlink ref="C14" r:id="rId4" xr:uid="{00000000-0004-0000-0300-000003000000}"/>
    <hyperlink ref="C9" r:id="rId5" location="data" xr:uid="{00000000-0004-0000-0300-000004000000}"/>
    <hyperlink ref="C17" r:id="rId6" xr:uid="{00000000-0004-0000-0300-000005000000}"/>
    <hyperlink ref="C22" r:id="rId7" xr:uid="{00000000-0004-0000-0300-000008000000}"/>
    <hyperlink ref="C20" r:id="rId8" xr:uid="{00000000-0004-0000-0300-000009000000}"/>
  </hyperlinks>
  <pageMargins left="0.7" right="0.7" top="0.78740157499999996" bottom="0.78740157499999996"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E133"/>
  <sheetViews>
    <sheetView topLeftCell="A40" zoomScale="80" zoomScaleNormal="80" workbookViewId="0">
      <selection activeCell="D51" sqref="D51"/>
    </sheetView>
  </sheetViews>
  <sheetFormatPr defaultColWidth="11.5546875" defaultRowHeight="14.4" x14ac:dyDescent="0.3"/>
  <cols>
    <col min="1" max="1" width="70.109375" style="7" customWidth="1"/>
    <col min="2" max="2" width="11.6640625" style="7" customWidth="1"/>
    <col min="3" max="3" width="14.77734375" style="7" customWidth="1"/>
    <col min="4" max="4" width="70.5546875" style="7" customWidth="1"/>
    <col min="5" max="16384" width="11.5546875" style="7"/>
  </cols>
  <sheetData>
    <row r="1" spans="1:4" s="12" customFormat="1" x14ac:dyDescent="0.3">
      <c r="A1" s="230" t="str">
        <f ca="1">texts!A7</f>
        <v>scenario details and parameters</v>
      </c>
      <c r="B1" s="231" t="str">
        <f ca="1">texts!A12</f>
        <v>fixed value</v>
      </c>
      <c r="C1" s="231"/>
      <c r="D1" s="267" t="s">
        <v>1231</v>
      </c>
    </row>
    <row r="2" spans="1:4" s="12" customFormat="1" x14ac:dyDescent="0.3">
      <c r="A2" s="232" t="str">
        <f ca="1">texts!A8</f>
        <v>world population (1-low, 2-medium, 3-high)</v>
      </c>
      <c r="B2" s="233" t="str">
        <f ca="1">texts!A13</f>
        <v>changeable via control sheet</v>
      </c>
      <c r="C2" s="233"/>
    </row>
    <row r="3" spans="1:4" x14ac:dyDescent="0.3">
      <c r="A3" s="18" t="str">
        <f ca="1">texts!A14</f>
        <v>real scale from slider</v>
      </c>
      <c r="B3" s="18">
        <f>control!D3/100</f>
        <v>0.68462972864343552</v>
      </c>
      <c r="C3" s="234" t="s">
        <v>748</v>
      </c>
      <c r="D3" s="7" t="s">
        <v>845</v>
      </c>
    </row>
    <row r="4" spans="1:4" x14ac:dyDescent="0.3">
      <c r="A4" s="18" t="str">
        <f ca="1">texts!A15</f>
        <v>scaling factor population</v>
      </c>
      <c r="B4" s="18">
        <f>intermediates!B3*2+1</f>
        <v>2.369259457286871</v>
      </c>
      <c r="C4" s="234" t="s">
        <v>748</v>
      </c>
      <c r="D4" s="7" t="str">
        <f ca="1">texts!A16</f>
        <v>1 - low, 2 - medium, 3 -high, linear interpolation and extrapolation</v>
      </c>
    </row>
    <row r="5" spans="1:4" x14ac:dyDescent="0.3">
      <c r="A5" s="235" t="str">
        <f ca="1">texts!A282</f>
        <v>lower 95% probability limit of the UN probabilistic projections for 2100 of WPP2019</v>
      </c>
      <c r="B5" s="235">
        <v>9424390594.2000008</v>
      </c>
      <c r="C5" s="236" t="s">
        <v>748</v>
      </c>
      <c r="D5" s="7" t="s">
        <v>1228</v>
      </c>
    </row>
    <row r="6" spans="1:4" x14ac:dyDescent="0.3">
      <c r="A6" s="235" t="str">
        <f ca="1">texts!A284</f>
        <v>lower limit for possibly increased efforts to control population growth</v>
      </c>
      <c r="B6" s="235">
        <v>2</v>
      </c>
      <c r="C6" s="236" t="s">
        <v>748</v>
      </c>
      <c r="D6" s="7" t="s">
        <v>851</v>
      </c>
    </row>
    <row r="7" spans="1:4" x14ac:dyDescent="0.3">
      <c r="A7" s="235" t="str">
        <f ca="1">texts!A283</f>
        <v>lower limit for definitely increased effort to control population growth</v>
      </c>
      <c r="B7" s="235">
        <v>2.5</v>
      </c>
      <c r="C7" s="236" t="s">
        <v>748</v>
      </c>
      <c r="D7" s="7" t="s">
        <v>850</v>
      </c>
    </row>
    <row r="8" spans="1:4" x14ac:dyDescent="0.3">
      <c r="A8" s="237" t="str">
        <f ca="1">texts!A25</f>
        <v>primary energy &amp; materials consumption</v>
      </c>
      <c r="D8" s="7" t="s">
        <v>1229</v>
      </c>
    </row>
    <row r="9" spans="1:4" x14ac:dyDescent="0.3">
      <c r="A9" s="235" t="str">
        <f ca="1">texts!A26</f>
        <v>slope fitted to historical data</v>
      </c>
      <c r="B9" s="238">
        <v>115.99481156999001</v>
      </c>
      <c r="C9" s="235" t="s">
        <v>785</v>
      </c>
      <c r="D9" s="7" t="s">
        <v>853</v>
      </c>
    </row>
    <row r="10" spans="1:4" x14ac:dyDescent="0.3">
      <c r="A10" s="235" t="str">
        <f ca="1">texts!A30</f>
        <v>limit for good developed life</v>
      </c>
      <c r="B10" s="235">
        <v>27400</v>
      </c>
      <c r="C10" s="235" t="s">
        <v>746</v>
      </c>
      <c r="D10" t="s">
        <v>852</v>
      </c>
    </row>
    <row r="11" spans="1:4" x14ac:dyDescent="0.3">
      <c r="A11" s="235" t="str">
        <f ca="1">texts!A31</f>
        <v>maximum limit considered</v>
      </c>
      <c r="B11" s="235">
        <f>2*B10</f>
        <v>54800</v>
      </c>
      <c r="C11" s="235" t="s">
        <v>746</v>
      </c>
      <c r="D11" s="7" t="s">
        <v>854</v>
      </c>
    </row>
    <row r="12" spans="1:4" x14ac:dyDescent="0.3">
      <c r="A12" s="235" t="str">
        <f ca="1">texts!A32</f>
        <v>minimum limit considered</v>
      </c>
      <c r="B12" s="239">
        <v>21200</v>
      </c>
      <c r="C12" s="235" t="s">
        <v>746</v>
      </c>
      <c r="D12" s="7" t="s">
        <v>855</v>
      </c>
    </row>
    <row r="13" spans="1:4" x14ac:dyDescent="0.3">
      <c r="A13" s="266" t="str">
        <f ca="1">texts!A304</f>
        <v>ref. to calculate substitution rate: 1 - with 27400 kWh/(cap a), 2 - chosen primary</v>
      </c>
      <c r="B13" s="368">
        <v>2</v>
      </c>
      <c r="C13" s="369" t="s">
        <v>748</v>
      </c>
      <c r="D13" s="7" t="s">
        <v>1230</v>
      </c>
    </row>
    <row r="14" spans="1:4" x14ac:dyDescent="0.3">
      <c r="A14" s="18" t="str">
        <f ca="1">texts!A35</f>
        <v>real scale from limit slider</v>
      </c>
      <c r="B14" s="18">
        <f>control!D4/100</f>
        <v>0.5</v>
      </c>
      <c r="C14" s="234" t="s">
        <v>748</v>
      </c>
      <c r="D14" s="7" t="s">
        <v>845</v>
      </c>
    </row>
    <row r="15" spans="1:4" x14ac:dyDescent="0.3">
      <c r="A15" s="18" t="str">
        <f ca="1">texts!A36</f>
        <v>upper limit of per-capita primary energy demand</v>
      </c>
      <c r="B15" s="240">
        <f>IF(B14&lt;0.5,B12+(2*B14)*(B10-B12),B10+(2*B14-1)*(B11-B10))</f>
        <v>27400</v>
      </c>
      <c r="C15" s="18" t="s">
        <v>746</v>
      </c>
      <c r="D15" s="7" t="s">
        <v>856</v>
      </c>
    </row>
    <row r="16" spans="1:4" x14ac:dyDescent="0.3">
      <c r="A16" s="235" t="str">
        <f ca="1">texts!A42</f>
        <v>growth hydroelectricity, ave. last 15a</v>
      </c>
      <c r="B16" s="238">
        <f>data!AR5</f>
        <v>23.600261187209231</v>
      </c>
      <c r="C16" s="235" t="s">
        <v>749</v>
      </c>
      <c r="D16" s="7" t="s">
        <v>977</v>
      </c>
    </row>
    <row r="17" spans="1:5" x14ac:dyDescent="0.3">
      <c r="A17" s="235" t="str">
        <f ca="1">texts!A43</f>
        <v>chosen factor max hydroelectricity rel. to 2018</v>
      </c>
      <c r="B17" s="235">
        <v>2</v>
      </c>
      <c r="C17" s="236" t="s">
        <v>748</v>
      </c>
      <c r="D17" s="7" t="s">
        <v>819</v>
      </c>
    </row>
    <row r="18" spans="1:5" x14ac:dyDescent="0.3">
      <c r="A18" s="235" t="str">
        <f ca="1">texts!A44</f>
        <v>annual growth biofuels, average last 15a</v>
      </c>
      <c r="B18" s="241">
        <f>data!AS5</f>
        <v>5.2987751730291883</v>
      </c>
      <c r="C18" s="235" t="s">
        <v>749</v>
      </c>
      <c r="D18" s="7" t="s">
        <v>977</v>
      </c>
    </row>
    <row r="19" spans="1:5" x14ac:dyDescent="0.3">
      <c r="A19" s="235" t="str">
        <f ca="1">texts!A45</f>
        <v>growth factor solar &amp; wind, ave last 7a</v>
      </c>
      <c r="B19" s="241">
        <f>data!AO5</f>
        <v>1.2058248482503406</v>
      </c>
      <c r="C19" s="236" t="s">
        <v>748</v>
      </c>
      <c r="D19" s="7" t="s">
        <v>977</v>
      </c>
    </row>
    <row r="20" spans="1:5" x14ac:dyDescent="0.3">
      <c r="A20" s="235" t="str">
        <f ca="1">texts!A46</f>
        <v>max. 5a-average growth rate solar &amp; wind</v>
      </c>
      <c r="B20" s="241">
        <f>data!AP5</f>
        <v>1.3370856480726312</v>
      </c>
      <c r="C20" s="236" t="s">
        <v>748</v>
      </c>
      <c r="D20" s="7" t="s">
        <v>977</v>
      </c>
    </row>
    <row r="21" spans="1:5" x14ac:dyDescent="0.3">
      <c r="A21" s="235" t="str">
        <f ca="1">texts!A47</f>
        <v>minimum substitution rate</v>
      </c>
      <c r="B21" s="242">
        <f>data!AQ5</f>
        <v>4.974933578166094E-3</v>
      </c>
      <c r="C21" s="236" t="s">
        <v>748</v>
      </c>
      <c r="D21" s="7" t="s">
        <v>1301</v>
      </c>
    </row>
    <row r="22" spans="1:5" x14ac:dyDescent="0.3">
      <c r="A22" s="235" t="str">
        <f ca="1">texts!A93</f>
        <v>minimum fraction bio-/CO2-fuels for planes and ships of primary energy</v>
      </c>
      <c r="B22" s="242">
        <v>0.05</v>
      </c>
      <c r="C22" s="236" t="s">
        <v>748</v>
      </c>
      <c r="D22" s="7" t="s">
        <v>1232</v>
      </c>
    </row>
    <row r="23" spans="1:5" x14ac:dyDescent="0.3">
      <c r="A23" s="18" t="str">
        <f ca="1">texts!A61</f>
        <v>fraction CO2-/bio-based fuels of primary energy</v>
      </c>
      <c r="B23" s="243">
        <f>B22+(0.15-B22)*control!D8/100</f>
        <v>0.08</v>
      </c>
      <c r="C23" s="234" t="s">
        <v>748</v>
      </c>
      <c r="D23" s="7" t="s">
        <v>1233</v>
      </c>
    </row>
    <row r="24" spans="1:5" x14ac:dyDescent="0.3">
      <c r="A24" s="18" t="str">
        <f ca="1">texts!A59</f>
        <v>contribution of DACCS/BECCS to CO2 removal</v>
      </c>
      <c r="B24" s="317">
        <f>control!D9*20/100</f>
        <v>10</v>
      </c>
      <c r="C24" s="234" t="str">
        <f ca="1">texts!A60</f>
        <v>Gt CO2 / year</v>
      </c>
      <c r="D24" s="7" t="s">
        <v>1233</v>
      </c>
    </row>
    <row r="25" spans="1:5" x14ac:dyDescent="0.3">
      <c r="A25" s="18" t="str">
        <f ca="1">texts!A293</f>
        <v>fraction of CO2-based vs. bio-based economy</v>
      </c>
      <c r="B25" s="325">
        <f>control!D10/100</f>
        <v>0</v>
      </c>
      <c r="C25" s="234" t="str">
        <f ca="1">texts!A295</f>
        <v>CO2-based</v>
      </c>
      <c r="D25" s="7" t="s">
        <v>1233</v>
      </c>
    </row>
    <row r="26" spans="1:5" x14ac:dyDescent="0.3">
      <c r="A26" s="18" t="str">
        <f ca="1">texts!A296</f>
        <v>maximum contribution of BECCS to CO2 capture</v>
      </c>
      <c r="B26" s="325">
        <f>B24*(1-B25)</f>
        <v>10</v>
      </c>
      <c r="C26" s="234" t="str">
        <f ca="1">texts!A60</f>
        <v>Gt CO2 / year</v>
      </c>
      <c r="D26" s="7" t="s">
        <v>1234</v>
      </c>
    </row>
    <row r="27" spans="1:5" x14ac:dyDescent="0.3">
      <c r="A27" s="18" t="str">
        <f ca="1">texts!A297</f>
        <v>maximum contribution of DACCS to CO2 capture</v>
      </c>
      <c r="B27" s="325">
        <f>B24*B25</f>
        <v>0</v>
      </c>
      <c r="C27" s="234" t="str">
        <f ca="1">texts!A60</f>
        <v>Gt CO2 / year</v>
      </c>
      <c r="D27" s="7" t="s">
        <v>1234</v>
      </c>
    </row>
    <row r="28" spans="1:5" x14ac:dyDescent="0.3">
      <c r="A28" s="235" t="str">
        <f ca="1">texts!A298</f>
        <v>energy content of biomass dry matter as CH2</v>
      </c>
      <c r="B28" s="326">
        <v>4.4111111111111114</v>
      </c>
      <c r="C28" s="236" t="s">
        <v>480</v>
      </c>
      <c r="D28" s="7" t="s">
        <v>885</v>
      </c>
    </row>
    <row r="29" spans="1:5" x14ac:dyDescent="0.3">
      <c r="A29" s="18" t="str">
        <f ca="1">texts!A48</f>
        <v>year of intensified renewable-energy transition, start BECCS &amp; afforestation</v>
      </c>
      <c r="B29" s="18">
        <f>INT(2020+control!D5)</f>
        <v>2021</v>
      </c>
      <c r="C29" s="234" t="s">
        <v>748</v>
      </c>
      <c r="D29" s="7" t="s">
        <v>928</v>
      </c>
      <c r="E29" s="247"/>
    </row>
    <row r="30" spans="1:5" x14ac:dyDescent="0.3">
      <c r="A30" s="235" t="str">
        <f ca="1">texts!A301</f>
        <v>number of years for transition: BECCS, afforestation, nutrition, etc.</v>
      </c>
      <c r="B30" s="244">
        <v>30</v>
      </c>
      <c r="C30" s="236"/>
      <c r="D30" s="22" t="s">
        <v>978</v>
      </c>
      <c r="E30" s="245"/>
    </row>
    <row r="31" spans="1:5" x14ac:dyDescent="0.3">
      <c r="A31" s="18" t="str">
        <f ca="1">texts!A62</f>
        <v>year until which all transitions except energy trans. and DACCS are established</v>
      </c>
      <c r="B31" s="367">
        <f>B29+B30</f>
        <v>2051</v>
      </c>
      <c r="C31" s="234" t="s">
        <v>748</v>
      </c>
      <c r="D31" s="22" t="s">
        <v>979</v>
      </c>
      <c r="E31" s="245"/>
    </row>
    <row r="32" spans="1:5" x14ac:dyDescent="0.3">
      <c r="A32" s="235" t="str">
        <f ca="1">texts!A289</f>
        <v>year until which primary-energy demand reaches final value</v>
      </c>
      <c r="B32" s="244">
        <v>2070</v>
      </c>
      <c r="C32" s="236" t="s">
        <v>748</v>
      </c>
      <c r="D32" s="22" t="s">
        <v>1302</v>
      </c>
      <c r="E32" s="245"/>
    </row>
    <row r="33" spans="1:5" x14ac:dyDescent="0.3">
      <c r="A33" s="235" t="str">
        <f ca="1">texts!A51</f>
        <v>maximum substitution rate before intensification</v>
      </c>
      <c r="B33" s="242">
        <v>4.45E-3</v>
      </c>
      <c r="C33" s="236" t="s">
        <v>748</v>
      </c>
      <c r="D33" s="22" t="s">
        <v>976</v>
      </c>
      <c r="E33" s="22"/>
    </row>
    <row r="34" spans="1:5" x14ac:dyDescent="0.3">
      <c r="A34" s="18" t="str">
        <f ca="1">texts!A55</f>
        <v>real scale growth rate solar + wind</v>
      </c>
      <c r="B34" s="18">
        <f>control!D6/100</f>
        <v>0.1</v>
      </c>
      <c r="C34" s="234" t="s">
        <v>748</v>
      </c>
      <c r="D34" s="7" t="s">
        <v>845</v>
      </c>
    </row>
    <row r="35" spans="1:5" x14ac:dyDescent="0.3">
      <c r="A35" s="18" t="str">
        <f ca="1">texts!A52</f>
        <v>growth rate solar + wind after intensification</v>
      </c>
      <c r="B35" s="248">
        <f>1.1+control!D6/100</f>
        <v>1.2000000000000002</v>
      </c>
      <c r="C35" s="234" t="s">
        <v>748</v>
      </c>
      <c r="D35" s="7" t="s">
        <v>1233</v>
      </c>
    </row>
    <row r="36" spans="1:5" x14ac:dyDescent="0.3">
      <c r="A36" s="18" t="str">
        <f ca="1">texts!A56</f>
        <v>real scale substitution rate</v>
      </c>
      <c r="B36" s="18">
        <f>control!D7/55</f>
        <v>0.45454545454545453</v>
      </c>
      <c r="C36" s="234" t="s">
        <v>748</v>
      </c>
      <c r="D36" s="7" t="s">
        <v>845</v>
      </c>
    </row>
    <row r="37" spans="1:5" x14ac:dyDescent="0.3">
      <c r="A37" s="18" t="str">
        <f ca="1">texts!A57</f>
        <v>substitution rate chosen</v>
      </c>
      <c r="B37" s="243">
        <f>intermediates!B21+intermediates!B36*(0.06-intermediates!B21)</f>
        <v>2.9986327406272412E-2</v>
      </c>
      <c r="C37" s="234" t="s">
        <v>748</v>
      </c>
      <c r="D37" s="7" t="s">
        <v>1233</v>
      </c>
    </row>
    <row r="38" spans="1:5" x14ac:dyDescent="0.3">
      <c r="A38" s="235" t="str">
        <f ca="1">texts!A64</f>
        <v>material feedstock demand per capita as CH2O</v>
      </c>
      <c r="B38" s="235">
        <v>125</v>
      </c>
      <c r="C38" s="235" t="s">
        <v>786</v>
      </c>
      <c r="D38" s="7" t="s">
        <v>1235</v>
      </c>
    </row>
    <row r="39" spans="1:5" x14ac:dyDescent="0.3">
      <c r="A39" s="235" t="str">
        <f ca="1">texts!A65</f>
        <v>power-plant efficiency loss due to CCS relative to output</v>
      </c>
      <c r="B39" s="241">
        <f>8/26</f>
        <v>0.30769230769230771</v>
      </c>
      <c r="C39" s="236" t="s">
        <v>748</v>
      </c>
      <c r="D39" s="12" t="s">
        <v>787</v>
      </c>
    </row>
    <row r="40" spans="1:5" x14ac:dyDescent="0.3">
      <c r="A40" s="235" t="str">
        <f ca="1">texts!A66</f>
        <v>efficiency of carbon capture with BECCS</v>
      </c>
      <c r="B40" s="235">
        <v>0.75</v>
      </c>
      <c r="C40" s="236" t="s">
        <v>748</v>
      </c>
      <c r="D40" s="12" t="s">
        <v>787</v>
      </c>
    </row>
    <row r="41" spans="1:5" x14ac:dyDescent="0.3">
      <c r="A41" s="235" t="str">
        <f ca="1">texts!A299</f>
        <v>electricity required for producing methanol from CO2</v>
      </c>
      <c r="B41" s="235">
        <v>11.02</v>
      </c>
      <c r="C41" s="236" t="s">
        <v>503</v>
      </c>
      <c r="D41" s="12" t="s">
        <v>903</v>
      </c>
    </row>
    <row r="42" spans="1:5" x14ac:dyDescent="0.3">
      <c r="A42" s="235" t="str">
        <f ca="1">texts!A70</f>
        <v>efficiency to convert from fossil fuel to electricity/exergy</v>
      </c>
      <c r="B42" s="235">
        <v>0.38</v>
      </c>
      <c r="C42" s="236" t="s">
        <v>748</v>
      </c>
      <c r="D42" s="12" t="s">
        <v>891</v>
      </c>
    </row>
    <row r="43" spans="1:5" x14ac:dyDescent="0.3">
      <c r="A43" s="235" t="str">
        <f ca="1">texts!A68</f>
        <v>energy required for CO2 recovery from air</v>
      </c>
      <c r="B43" s="253">
        <v>1986.3703703703704</v>
      </c>
      <c r="C43" s="236" t="s">
        <v>788</v>
      </c>
      <c r="D43" s="357" t="s">
        <v>1303</v>
      </c>
    </row>
    <row r="44" spans="1:5" x14ac:dyDescent="0.3">
      <c r="A44" s="235" t="str">
        <f ca="1">texts!A259</f>
        <v>primary energy 2100 incl. add. shares / value today</v>
      </c>
      <c r="B44" s="238">
        <f>data!CC156/data!AJ76</f>
        <v>1.2782433200227852</v>
      </c>
      <c r="C44" s="236" t="s">
        <v>748</v>
      </c>
      <c r="D44" s="328" t="s">
        <v>939</v>
      </c>
    </row>
    <row r="45" spans="1:5" x14ac:dyDescent="0.3">
      <c r="A45" s="249" t="str">
        <f ca="1">texts!A328</f>
        <v>test saving ernergy in OECD countries</v>
      </c>
      <c r="B45" s="363"/>
      <c r="C45" s="247"/>
      <c r="D45" s="328"/>
    </row>
    <row r="46" spans="1:5" x14ac:dyDescent="0.3">
      <c r="A46" s="266" t="str">
        <f ca="1">texts!A329</f>
        <v>per-capita enery demand in OECD countires with instantaneozus saving in 2021</v>
      </c>
      <c r="B46" s="353">
        <v>0</v>
      </c>
      <c r="C46" s="369" t="s">
        <v>746</v>
      </c>
      <c r="D46" s="364" t="s">
        <v>1186</v>
      </c>
    </row>
    <row r="47" spans="1:5" x14ac:dyDescent="0.3">
      <c r="A47" s="235" t="str">
        <f ca="1">texts!A330</f>
        <v>global per-capita energy demand with saving 2021</v>
      </c>
      <c r="B47" s="238" t="str">
        <f ca="1">IF(B46=0,texts!A331,(B46*data!C76+data!AI77*data!D76)/data!B76)</f>
        <v>no saving</v>
      </c>
      <c r="C47" s="236" t="s">
        <v>746</v>
      </c>
      <c r="D47" s="364" t="s">
        <v>1237</v>
      </c>
    </row>
    <row r="48" spans="1:5" s="237" customFormat="1" x14ac:dyDescent="0.3">
      <c r="A48" s="249" t="str">
        <f ca="1">texts!A327</f>
        <v>costs</v>
      </c>
      <c r="B48" s="319"/>
      <c r="C48" s="320"/>
      <c r="D48" s="321"/>
    </row>
    <row r="49" spans="1:4" x14ac:dyDescent="0.3">
      <c r="A49" s="235" t="str">
        <f ca="1">texts!A310</f>
        <v xml:space="preserve">additional costs for DACCS compared to biomass utilization </v>
      </c>
      <c r="B49" s="253">
        <v>183</v>
      </c>
      <c r="C49" s="236" t="s">
        <v>825</v>
      </c>
      <c r="D49" s="7" t="s">
        <v>1293</v>
      </c>
    </row>
    <row r="50" spans="1:4" x14ac:dyDescent="0.3">
      <c r="A50" s="235" t="str">
        <f ca="1">texts!A309</f>
        <v>electricity costs for unstabilized electricity on 2050 cost level</v>
      </c>
      <c r="B50" s="254">
        <v>0.04</v>
      </c>
      <c r="C50" s="236" t="s">
        <v>1048</v>
      </c>
      <c r="D50" s="4" t="s">
        <v>1304</v>
      </c>
    </row>
    <row r="51" spans="1:4" x14ac:dyDescent="0.3">
      <c r="A51" s="249" t="str">
        <f ca="1">texts!A122</f>
        <v>global warming</v>
      </c>
      <c r="B51" s="22"/>
      <c r="C51" s="247"/>
    </row>
    <row r="52" spans="1:4" x14ac:dyDescent="0.3">
      <c r="A52" s="250" t="str">
        <f ca="1">texts!A86</f>
        <v>slope of temperature vs. total CO2 emitted for 66th percentile</v>
      </c>
      <c r="B52" s="251">
        <v>4.1939080634534499E-4</v>
      </c>
      <c r="C52" s="235" t="s">
        <v>789</v>
      </c>
      <c r="D52" s="7" t="s">
        <v>1185</v>
      </c>
    </row>
    <row r="53" spans="1:4" x14ac:dyDescent="0.3">
      <c r="A53" s="235" t="str">
        <f ca="1">texts!A87</f>
        <v>slope of temperature vs. total CO2 emitted for 50th percentile</v>
      </c>
      <c r="B53" s="252">
        <v>5.4379969770651201E-4</v>
      </c>
      <c r="C53" s="235" t="s">
        <v>789</v>
      </c>
      <c r="D53" s="7" t="s">
        <v>1185</v>
      </c>
    </row>
    <row r="54" spans="1:4" x14ac:dyDescent="0.3">
      <c r="A54" s="235" t="str">
        <f ca="1">texts!A88</f>
        <v>slope of temperature vs. total CO2 emitted for 33rd percentile</v>
      </c>
      <c r="B54" s="252">
        <v>6.6712350854563208E-4</v>
      </c>
      <c r="C54" s="235" t="s">
        <v>789</v>
      </c>
      <c r="D54" s="7" t="s">
        <v>1185</v>
      </c>
    </row>
    <row r="55" spans="1:4" x14ac:dyDescent="0.3">
      <c r="A55" s="235" t="str">
        <f ca="1">texts!A89</f>
        <v>intercept of temperature vs. total CO2 emitted: CO2 emitted</v>
      </c>
      <c r="B55" s="253">
        <v>1949.9628807312702</v>
      </c>
      <c r="C55" s="235" t="s">
        <v>751</v>
      </c>
      <c r="D55" s="7" t="s">
        <v>1185</v>
      </c>
    </row>
    <row r="56" spans="1:4" x14ac:dyDescent="0.3">
      <c r="A56" s="235" t="str">
        <f ca="1">texts!A90</f>
        <v>intercept of temperature vs. total CO2 emitted: temperature</v>
      </c>
      <c r="B56" s="254">
        <v>1.0294809811588925</v>
      </c>
      <c r="C56" s="235" t="s">
        <v>790</v>
      </c>
      <c r="D56" s="7" t="s">
        <v>1185</v>
      </c>
    </row>
    <row r="57" spans="1:4" x14ac:dyDescent="0.3">
      <c r="A57" s="18" t="str">
        <f ca="1">texts!A257</f>
        <v>chosen percentile for climate response to CO2 emissions</v>
      </c>
      <c r="B57" s="255">
        <f>IF(control!D17&lt;67,IF(control!D17&gt;33,control!D17,33),67)</f>
        <v>50</v>
      </c>
      <c r="C57" s="234" t="s">
        <v>748</v>
      </c>
      <c r="D57" s="7" t="s">
        <v>1233</v>
      </c>
    </row>
    <row r="58" spans="1:4" x14ac:dyDescent="0.3">
      <c r="A58" s="18" t="str">
        <f ca="1">texts!A258</f>
        <v>chosen slope of climate response to CO2 emissions</v>
      </c>
      <c r="B58" s="256">
        <f>IF(B57&lt;50,B52+(B57-33)*(B53-B52)/(50-33),B53+(B57-50)/(67-50)*(B54-B53))</f>
        <v>5.4379969770651201E-4</v>
      </c>
      <c r="C58" s="18" t="s">
        <v>789</v>
      </c>
      <c r="D58" s="7" t="s">
        <v>1238</v>
      </c>
    </row>
    <row r="59" spans="1:4" x14ac:dyDescent="0.3">
      <c r="A59" s="249" t="str">
        <f ca="1">texts!A123</f>
        <v>land area</v>
      </c>
      <c r="B59" s="257"/>
      <c r="C59" s="22"/>
    </row>
    <row r="60" spans="1:4" x14ac:dyDescent="0.3">
      <c r="A60" s="235" t="str">
        <f ca="1">texts!A94</f>
        <v>average annual growth factor of cropland during last 8 years</v>
      </c>
      <c r="B60" s="241">
        <f>data!DD5</f>
        <v>4.7030815811456173E-3</v>
      </c>
      <c r="C60" s="236" t="s">
        <v>748</v>
      </c>
      <c r="D60" s="7" t="s">
        <v>1239</v>
      </c>
    </row>
    <row r="61" spans="1:4" x14ac:dyDescent="0.3">
      <c r="A61" s="235" t="str">
        <f ca="1">texts!A95</f>
        <v>annual growth factor permanent meadows and pastures, average 8 years</v>
      </c>
      <c r="B61" s="241">
        <f>data!DE5</f>
        <v>-2.3857071511314476E-3</v>
      </c>
      <c r="C61" s="236" t="s">
        <v>748</v>
      </c>
      <c r="D61" s="7" t="s">
        <v>1239</v>
      </c>
    </row>
    <row r="62" spans="1:4" x14ac:dyDescent="0.3">
      <c r="A62" s="235" t="str">
        <f ca="1">texts!A96</f>
        <v>annual growth factor forest land, average 8 years</v>
      </c>
      <c r="B62" s="241">
        <f>data!DF5</f>
        <v>-6.23675259631024E-4</v>
      </c>
      <c r="C62" s="236" t="s">
        <v>748</v>
      </c>
      <c r="D62" s="7" t="s">
        <v>1239</v>
      </c>
    </row>
    <row r="63" spans="1:4" x14ac:dyDescent="0.3">
      <c r="A63" s="235" t="str">
        <f ca="1">texts!A137</f>
        <v>slope of area-specific vegetal productivity used</v>
      </c>
      <c r="B63" s="258">
        <f>data!ES5</f>
        <v>9.9755893914427372</v>
      </c>
      <c r="C63" s="236" t="s">
        <v>757</v>
      </c>
      <c r="D63" s="7" t="s">
        <v>1240</v>
      </c>
    </row>
    <row r="64" spans="1:4" x14ac:dyDescent="0.3">
      <c r="A64" s="235" t="str">
        <f ca="1">texts!A140</f>
        <v>pasture intensity, A1 in A1*exp(-(x-x0)/t1) in m^2*a/kcal</v>
      </c>
      <c r="B64" s="258">
        <f>data!EW69</f>
        <v>2.1965059171402943E-2</v>
      </c>
      <c r="C64" s="236" t="s">
        <v>791</v>
      </c>
      <c r="D64" s="7" t="s">
        <v>1240</v>
      </c>
    </row>
    <row r="65" spans="1:4" x14ac:dyDescent="0.3">
      <c r="A65" s="235" t="str">
        <f ca="1">texts!A141</f>
        <v>pasture intensity, t1 in A1*exp(-(x-x0)/t1) in m^2*a/kcal</v>
      </c>
      <c r="B65" s="241">
        <v>53.289389999999997</v>
      </c>
      <c r="C65" s="236" t="s">
        <v>748</v>
      </c>
      <c r="D65" s="7" t="s">
        <v>1240</v>
      </c>
    </row>
    <row r="66" spans="1:4" x14ac:dyDescent="0.3">
      <c r="A66" s="235" t="str">
        <f ca="1">texts!A142</f>
        <v>pasture intensity, x0 in A1*exp(-(x-x0)/t1) in m^2*a/kcal</v>
      </c>
      <c r="B66" s="235">
        <v>2013</v>
      </c>
      <c r="C66" s="236" t="s">
        <v>748</v>
      </c>
      <c r="D66" s="7" t="s">
        <v>1240</v>
      </c>
    </row>
    <row r="67" spans="1:4" x14ac:dyDescent="0.3">
      <c r="A67" s="18" t="str">
        <f ca="1">texts!A144</f>
        <v>intensification agriculture, 0 = const., 1 = max.</v>
      </c>
      <c r="B67" s="18">
        <f>control!D12/100</f>
        <v>1</v>
      </c>
      <c r="C67" s="234" t="s">
        <v>748</v>
      </c>
      <c r="D67" s="7" t="s">
        <v>1233</v>
      </c>
    </row>
    <row r="68" spans="1:4" x14ac:dyDescent="0.3">
      <c r="A68" s="18" t="str">
        <f ca="1">texts!A145</f>
        <v>intensification livestock production, 0 = const., 1 = max.</v>
      </c>
      <c r="B68" s="18">
        <f>control!D13/100</f>
        <v>1</v>
      </c>
      <c r="C68" s="234" t="s">
        <v>748</v>
      </c>
      <c r="D68" s="7" t="s">
        <v>1233</v>
      </c>
    </row>
    <row r="69" spans="1:4" x14ac:dyDescent="0.3">
      <c r="A69" s="235" t="str">
        <f ca="1">texts!A166</f>
        <v>land-area specific productivity for biofuels in reference year</v>
      </c>
      <c r="B69" s="238">
        <v>2</v>
      </c>
      <c r="C69" s="236" t="s">
        <v>758</v>
      </c>
      <c r="D69" s="7" t="s">
        <v>1242</v>
      </c>
    </row>
    <row r="70" spans="1:4" x14ac:dyDescent="0.3">
      <c r="A70" s="235" t="str">
        <f ca="1">texts!A167</f>
        <v>reference year for land-area specific productivity for bio-fuels, materials &amp; BECCS</v>
      </c>
      <c r="B70" s="235">
        <v>2013</v>
      </c>
      <c r="C70" s="236" t="s">
        <v>748</v>
      </c>
      <c r="D70" s="7" t="s">
        <v>1242</v>
      </c>
    </row>
    <row r="71" spans="1:4" x14ac:dyDescent="0.3">
      <c r="A71" s="235" t="str">
        <f ca="1">texts!A168</f>
        <v>land-area specific vegetal productivity in reference year</v>
      </c>
      <c r="B71" s="238">
        <f>data!EU69</f>
        <v>785.75156273423079</v>
      </c>
      <c r="C71" s="236" t="s">
        <v>756</v>
      </c>
      <c r="D71" s="7" t="s">
        <v>939</v>
      </c>
    </row>
    <row r="72" spans="1:4" x14ac:dyDescent="0.3">
      <c r="A72" s="235" t="str">
        <f ca="1">texts!A169</f>
        <v>land-area specific bio-materials productivity in reference year on CH2-basis</v>
      </c>
      <c r="B72" s="238">
        <f>2*0.8</f>
        <v>1.6</v>
      </c>
      <c r="C72" s="236" t="s">
        <v>477</v>
      </c>
      <c r="D72" s="7" t="s">
        <v>1242</v>
      </c>
    </row>
    <row r="73" spans="1:4" x14ac:dyDescent="0.3">
      <c r="A73" s="235" t="str">
        <f ca="1">texts!A170</f>
        <v>land-area specific energy productivity for BECCS/alternative in reference year</v>
      </c>
      <c r="B73" s="238">
        <v>3</v>
      </c>
      <c r="C73" s="236" t="s">
        <v>758</v>
      </c>
      <c r="D73" s="7" t="s">
        <v>1242</v>
      </c>
    </row>
    <row r="74" spans="1:4" x14ac:dyDescent="0.3">
      <c r="A74" s="235" t="str">
        <f ca="1">texts!A186</f>
        <v>fraction additional area demand for organic farming</v>
      </c>
      <c r="B74" s="259">
        <v>0.15</v>
      </c>
      <c r="C74" s="236" t="s">
        <v>748</v>
      </c>
      <c r="D74" s="12" t="s">
        <v>1243</v>
      </c>
    </row>
    <row r="75" spans="1:4" s="22" customFormat="1" x14ac:dyDescent="0.3">
      <c r="A75" s="18" t="str">
        <f ca="1">texts!A171</f>
        <v>fraction of cropland with sustainable farming</v>
      </c>
      <c r="B75" s="260">
        <f>data!GL69+control!D14*(1-data!GL69)/100</f>
        <v>1</v>
      </c>
      <c r="C75" s="234" t="s">
        <v>748</v>
      </c>
      <c r="D75" s="7" t="s">
        <v>1233</v>
      </c>
    </row>
    <row r="76" spans="1:4" s="22" customFormat="1" x14ac:dyDescent="0.3">
      <c r="A76" s="18" t="str">
        <f ca="1">texts!A172</f>
        <v>fraction cropland area reserved for bio-diversity</v>
      </c>
      <c r="B76" s="260">
        <f>control!D15/100</f>
        <v>0.12</v>
      </c>
      <c r="C76" s="234" t="s">
        <v>748</v>
      </c>
      <c r="D76" s="7" t="s">
        <v>1233</v>
      </c>
    </row>
    <row r="77" spans="1:4" s="22" customFormat="1" x14ac:dyDescent="0.3">
      <c r="A77" s="18" t="str">
        <f ca="1">texts!A173</f>
        <v>fraction of agricultural land for afforestation</v>
      </c>
      <c r="B77" s="260">
        <f>control!D16/100</f>
        <v>0.15</v>
      </c>
      <c r="C77" s="234" t="s">
        <v>748</v>
      </c>
      <c r="D77" s="7" t="s">
        <v>1233</v>
      </c>
    </row>
    <row r="78" spans="1:4" s="22" customFormat="1" x14ac:dyDescent="0.3">
      <c r="A78" s="235" t="str">
        <f ca="1">texts!A319</f>
        <v>organic carbon in forests calculated as CO2</v>
      </c>
      <c r="B78" s="261">
        <v>1006.9935242993464</v>
      </c>
      <c r="C78" s="236" t="s">
        <v>1140</v>
      </c>
      <c r="D78" s="22" t="s">
        <v>1244</v>
      </c>
    </row>
    <row r="79" spans="1:4" s="22" customFormat="1" x14ac:dyDescent="0.3">
      <c r="A79" s="235" t="str">
        <f ca="1">texts!A320</f>
        <v>organic carbon in savanna, grassland, shrubland calculated as CO2</v>
      </c>
      <c r="B79" s="261">
        <v>663.74204429621693</v>
      </c>
      <c r="C79" s="236" t="s">
        <v>1140</v>
      </c>
      <c r="D79" s="357" t="s">
        <v>1076</v>
      </c>
    </row>
    <row r="80" spans="1:4" s="22" customFormat="1" x14ac:dyDescent="0.3">
      <c r="A80" s="235" t="str">
        <f ca="1">texts!A321</f>
        <v>organic carbon in croplands calculated as CO2</v>
      </c>
      <c r="B80" s="261">
        <v>300.46366989434426</v>
      </c>
      <c r="C80" s="236" t="s">
        <v>1140</v>
      </c>
      <c r="D80" s="328" t="s">
        <v>1077</v>
      </c>
    </row>
    <row r="81" spans="1:5" s="22" customFormat="1" x14ac:dyDescent="0.3">
      <c r="A81" s="235" t="str">
        <f ca="1">texts!A322</f>
        <v>organic carbon in wetlands, calcuilated as CO2</v>
      </c>
      <c r="B81" s="261">
        <v>2513.6350920429286</v>
      </c>
      <c r="C81" s="236" t="s">
        <v>1140</v>
      </c>
      <c r="D81" s="22" t="s">
        <v>1171</v>
      </c>
    </row>
    <row r="82" spans="1:5" s="22" customFormat="1" x14ac:dyDescent="0.3">
      <c r="A82" s="235" t="str">
        <f ca="1">texts!A323</f>
        <v>organic carbon additionally in organic farmin as CO2</v>
      </c>
      <c r="B82" s="261">
        <f>19.75*44.0095/12.0107</f>
        <v>72.367774151381681</v>
      </c>
      <c r="C82" s="236" t="s">
        <v>1140</v>
      </c>
      <c r="D82" t="s">
        <v>1141</v>
      </c>
    </row>
    <row r="83" spans="1:5" s="22" customFormat="1" x14ac:dyDescent="0.3">
      <c r="A83" s="235" t="str">
        <f ca="1">texts!A326</f>
        <v>average timescale of uptake of C by grassland &amp; cropland and release by all land</v>
      </c>
      <c r="B83" s="244">
        <v>25</v>
      </c>
      <c r="C83" s="236" t="s">
        <v>792</v>
      </c>
      <c r="D83" t="s">
        <v>1226</v>
      </c>
    </row>
    <row r="84" spans="1:5" s="22" customFormat="1" x14ac:dyDescent="0.3">
      <c r="A84" s="235" t="str">
        <f ca="1">texts!A334</f>
        <v>average timescale of uptake of carbon by forests</v>
      </c>
      <c r="B84" s="244">
        <v>82.5</v>
      </c>
      <c r="C84" s="236" t="s">
        <v>792</v>
      </c>
      <c r="D84" t="s">
        <v>1215</v>
      </c>
    </row>
    <row r="85" spans="1:5" s="22" customFormat="1" x14ac:dyDescent="0.3">
      <c r="A85" s="235" t="str">
        <f ca="1">texts!A335</f>
        <v>average timescale of uptake of carbon by wetlands</v>
      </c>
      <c r="B85" s="244">
        <v>82.5</v>
      </c>
      <c r="C85" s="236" t="s">
        <v>792</v>
      </c>
      <c r="D85" t="s">
        <v>1227</v>
      </c>
    </row>
    <row r="86" spans="1:5" s="22" customFormat="1" x14ac:dyDescent="0.3">
      <c r="A86" s="235" t="str">
        <f ca="1">texts!A277</f>
        <v>maximum CO2 capture capacity by BECCS and Alternatives after IPCC</v>
      </c>
      <c r="B86" s="244">
        <f>(125+130)*conversions!C6/conversions!C8</f>
        <v>934.37934508396677</v>
      </c>
      <c r="C86" s="236" t="s">
        <v>793</v>
      </c>
      <c r="D86" s="328" t="s">
        <v>1245</v>
      </c>
    </row>
    <row r="87" spans="1:5" s="22" customFormat="1" x14ac:dyDescent="0.3">
      <c r="A87" s="235" t="str">
        <f ca="1">texts!A324</f>
        <v>fraction of wetland of land for bio-diversity</v>
      </c>
      <c r="B87" s="326">
        <v>0.5</v>
      </c>
      <c r="C87" s="236" t="s">
        <v>748</v>
      </c>
      <c r="D87" s="22" t="s">
        <v>1146</v>
      </c>
      <c r="E87" s="262"/>
    </row>
    <row r="88" spans="1:5" s="22" customFormat="1" x14ac:dyDescent="0.3">
      <c r="A88" s="235" t="str">
        <f ca="1">texts!A325</f>
        <v>maximum land are for wetlands</v>
      </c>
      <c r="B88" s="358">
        <v>4580000000000</v>
      </c>
      <c r="C88" s="236" t="s">
        <v>755</v>
      </c>
      <c r="D88" s="2" t="s">
        <v>1150</v>
      </c>
      <c r="E88" s="262"/>
    </row>
    <row r="89" spans="1:5" x14ac:dyDescent="0.3">
      <c r="A89" s="249" t="str">
        <f ca="1">texts!A124</f>
        <v>nutrition</v>
      </c>
      <c r="B89" s="263"/>
      <c r="C89" s="247"/>
    </row>
    <row r="90" spans="1:5" x14ac:dyDescent="0.3">
      <c r="A90" s="235" t="str">
        <f ca="1">texts!A97</f>
        <v>slope of food supply from quadratic fit</v>
      </c>
      <c r="B90" s="241">
        <v>7.97119</v>
      </c>
      <c r="C90" s="236" t="s">
        <v>794</v>
      </c>
      <c r="D90" s="7" t="s">
        <v>1246</v>
      </c>
    </row>
    <row r="91" spans="1:5" x14ac:dyDescent="0.3">
      <c r="A91" s="235" t="str">
        <f ca="1">texts!A98</f>
        <v>quadratic term of food supply from quadratic fit</v>
      </c>
      <c r="B91" s="235">
        <v>-4.07E-2</v>
      </c>
      <c r="C91" s="235" t="s">
        <v>795</v>
      </c>
      <c r="D91" s="7" t="s">
        <v>1246</v>
      </c>
    </row>
    <row r="92" spans="1:5" x14ac:dyDescent="0.3">
      <c r="A92" s="266" t="str">
        <f ca="1">texts!A99</f>
        <v>chosen factor for future increase of food supply</v>
      </c>
      <c r="B92" s="266">
        <v>1</v>
      </c>
      <c r="C92" s="369" t="s">
        <v>748</v>
      </c>
      <c r="D92" s="7" t="s">
        <v>1247</v>
      </c>
    </row>
    <row r="93" spans="1:5" x14ac:dyDescent="0.3">
      <c r="A93" s="18" t="str">
        <f ca="1">texts!A103</f>
        <v>fraction animal-based food</v>
      </c>
      <c r="B93" s="18">
        <f>control!D11*36/10000</f>
        <v>2.522212345090466E-2</v>
      </c>
      <c r="C93" s="234" t="s">
        <v>748</v>
      </c>
      <c r="D93" s="7" t="s">
        <v>1233</v>
      </c>
    </row>
    <row r="94" spans="1:5" x14ac:dyDescent="0.3">
      <c r="A94" s="235" t="str">
        <f ca="1">texts!A149</f>
        <v>feed intensity, y0 in y0+A1*exp(-(x-x0)/t1) in kcal/kcal</v>
      </c>
      <c r="B94" s="235">
        <v>1.5</v>
      </c>
      <c r="C94" s="235" t="s">
        <v>760</v>
      </c>
      <c r="D94" s="7" t="s">
        <v>1246</v>
      </c>
    </row>
    <row r="95" spans="1:5" x14ac:dyDescent="0.3">
      <c r="A95" s="235" t="str">
        <f ca="1">texts!A150</f>
        <v>feed intensity, A1 in y0+A1*exp(-(x-x0)/t1) in kcal/kcal</v>
      </c>
      <c r="B95" s="258">
        <v>0.35216721000000001</v>
      </c>
      <c r="C95" s="235" t="s">
        <v>760</v>
      </c>
      <c r="D95" s="7" t="s">
        <v>1246</v>
      </c>
    </row>
    <row r="96" spans="1:5" x14ac:dyDescent="0.3">
      <c r="A96" s="235" t="str">
        <f ca="1">texts!A151</f>
        <v>feed intensity, t1 in y0+A1*exp(-(x-x0)/t1) in kcal/kcal</v>
      </c>
      <c r="B96" s="258">
        <v>36.167413086917897</v>
      </c>
      <c r="C96" s="236" t="s">
        <v>748</v>
      </c>
      <c r="D96" s="7" t="s">
        <v>1246</v>
      </c>
    </row>
    <row r="97" spans="1:4" x14ac:dyDescent="0.3">
      <c r="A97" s="235" t="str">
        <f ca="1">texts!A152</f>
        <v>feed intensity, x0 in y0+A1*exp(-(x-x0)/t1) in kcal/kcal</v>
      </c>
      <c r="B97" s="235">
        <v>2013</v>
      </c>
      <c r="C97" s="236" t="s">
        <v>748</v>
      </c>
      <c r="D97" s="7" t="s">
        <v>1248</v>
      </c>
    </row>
    <row r="98" spans="1:4" x14ac:dyDescent="0.3">
      <c r="A98" s="235" t="str">
        <f ca="1">texts!A154</f>
        <v>food / primary production animal based, y0 in y0+A1*exp(-(x-x0)/t1) in kcal/kcal</v>
      </c>
      <c r="B98" s="235">
        <v>0.91</v>
      </c>
      <c r="C98" s="236" t="s">
        <v>760</v>
      </c>
      <c r="D98" s="7" t="s">
        <v>1246</v>
      </c>
    </row>
    <row r="99" spans="1:4" x14ac:dyDescent="0.3">
      <c r="A99" s="235" t="str">
        <f ca="1">texts!A155</f>
        <v>food / primary production animal based, A1 in y0+A1*exp(-(x-x0)/t1) in kcal/kcal</v>
      </c>
      <c r="B99" s="264">
        <v>-4.9059065372577502E-2</v>
      </c>
      <c r="C99" s="236" t="s">
        <v>760</v>
      </c>
      <c r="D99" s="7" t="s">
        <v>1246</v>
      </c>
    </row>
    <row r="100" spans="1:4" x14ac:dyDescent="0.3">
      <c r="A100" s="235" t="str">
        <f ca="1">texts!A156</f>
        <v>food / primary production animal based, t1 in y0+A1*exp(-(x-x0)/t1) in kcal/kcal</v>
      </c>
      <c r="B100" s="235">
        <v>45.200428039848902</v>
      </c>
      <c r="C100" s="236" t="s">
        <v>748</v>
      </c>
      <c r="D100" s="7" t="s">
        <v>1246</v>
      </c>
    </row>
    <row r="101" spans="1:4" x14ac:dyDescent="0.3">
      <c r="A101" s="235" t="str">
        <f ca="1">texts!A157</f>
        <v>food / primary production animal based, x0 in y0+A1*exp(-(x-x0)/t1) in kcal/kcal</v>
      </c>
      <c r="B101" s="235">
        <v>2013</v>
      </c>
      <c r="C101" s="236" t="s">
        <v>748</v>
      </c>
      <c r="D101" s="7" t="s">
        <v>1248</v>
      </c>
    </row>
    <row r="102" spans="1:4" x14ac:dyDescent="0.3">
      <c r="A102" s="235" t="str">
        <f ca="1">texts!A159</f>
        <v>seed / primary production vegetal, y0 in y0+A1*exp(-(x-x0)/t1) in kcal/kcal</v>
      </c>
      <c r="B102" s="235">
        <v>1.26E-2</v>
      </c>
      <c r="C102" s="236" t="s">
        <v>760</v>
      </c>
      <c r="D102" s="7" t="s">
        <v>1246</v>
      </c>
    </row>
    <row r="103" spans="1:4" x14ac:dyDescent="0.3">
      <c r="A103" s="235" t="str">
        <f ca="1">texts!A160</f>
        <v>seed / primary production vegetal, A1 in y0+A1*exp(-(x-x0)/t1) in kcal/kcal</v>
      </c>
      <c r="B103" s="235">
        <v>1.337E-2</v>
      </c>
      <c r="C103" s="236" t="s">
        <v>760</v>
      </c>
      <c r="D103" s="7" t="s">
        <v>1246</v>
      </c>
    </row>
    <row r="104" spans="1:4" x14ac:dyDescent="0.3">
      <c r="A104" s="235" t="str">
        <f ca="1">texts!A161</f>
        <v>seed / primary production vegetal, t1 in y0+A1*exp(-(x-x0)/t1) in kcal/kcal</v>
      </c>
      <c r="B104" s="235">
        <v>37.648009999999999</v>
      </c>
      <c r="C104" s="236" t="s">
        <v>748</v>
      </c>
      <c r="D104" s="7" t="s">
        <v>1246</v>
      </c>
    </row>
    <row r="105" spans="1:4" x14ac:dyDescent="0.3">
      <c r="A105" s="235" t="str">
        <f ca="1">texts!A162</f>
        <v>seed / primary production vegetal, x0 in y0+A1*exp(-(x-x0)/t1) in kcal/kcal</v>
      </c>
      <c r="B105" s="235">
        <v>2013</v>
      </c>
      <c r="C105" s="236" t="s">
        <v>748</v>
      </c>
      <c r="D105" s="7" t="s">
        <v>1248</v>
      </c>
    </row>
    <row r="106" spans="1:4" x14ac:dyDescent="0.3">
      <c r="A106" s="235" t="str">
        <f ca="1">texts!A164</f>
        <v>losses vegetal / vegetal primary production</v>
      </c>
      <c r="B106" s="264">
        <f>data!FK5</f>
        <v>4.5616870531049965E-2</v>
      </c>
      <c r="C106" s="236" t="s">
        <v>760</v>
      </c>
      <c r="D106" s="7" t="s">
        <v>1246</v>
      </c>
    </row>
    <row r="107" spans="1:4" x14ac:dyDescent="0.3">
      <c r="A107" s="237" t="str">
        <f ca="1">texts!A130</f>
        <v>warnings</v>
      </c>
    </row>
    <row r="108" spans="1:4" x14ac:dyDescent="0.3">
      <c r="A108" s="265">
        <v>1</v>
      </c>
      <c r="B108" s="266" t="str">
        <f>IF(data!L156&lt;=intermediates!B5,texts!A263,IF(B4&lt;B6,texts!A17,""))</f>
        <v/>
      </c>
      <c r="C108" s="246"/>
    </row>
    <row r="109" spans="1:4" x14ac:dyDescent="0.3">
      <c r="A109" s="265">
        <v>2</v>
      </c>
      <c r="B109" s="266" t="str">
        <f ca="1">IF(control!B21&gt;2,texts!A131,"")</f>
        <v/>
      </c>
      <c r="C109" s="246"/>
    </row>
    <row r="110" spans="1:4" x14ac:dyDescent="0.3">
      <c r="A110" s="265">
        <v>3</v>
      </c>
      <c r="B110" s="266" t="str">
        <f ca="1">IF(data!CX155&lt;data!CX156,texts!A132,IF(data!CX155&lt;data!CX156+0.001,texts!A197,""))</f>
        <v/>
      </c>
      <c r="C110" s="246"/>
    </row>
    <row r="111" spans="1:4" x14ac:dyDescent="0.3">
      <c r="A111" s="265">
        <v>4</v>
      </c>
      <c r="B111" s="266" t="str">
        <f>IF(data!IF5&gt;0,IF(data!IF156&gt;0,texts!A133,texts!A275),"")</f>
        <v/>
      </c>
      <c r="C111" s="246"/>
    </row>
    <row r="112" spans="1:4" x14ac:dyDescent="0.3">
      <c r="A112" s="265">
        <v>5</v>
      </c>
      <c r="B112" s="266" t="str">
        <f>IF(B15&lt;B10,texts!A193,"")</f>
        <v/>
      </c>
      <c r="C112" s="246"/>
    </row>
    <row r="113" spans="1:3" x14ac:dyDescent="0.3">
      <c r="A113" s="265">
        <v>6</v>
      </c>
      <c r="B113" s="266" t="str">
        <f>IF(B37&gt;0.04,texts!A195,"")</f>
        <v/>
      </c>
      <c r="C113" s="246"/>
    </row>
    <row r="114" spans="1:3" x14ac:dyDescent="0.3">
      <c r="A114" s="265">
        <v>8</v>
      </c>
      <c r="B114" s="266" t="str">
        <f>IF(AND(data!IC156&gt;data!IA156,data!IA155/data!IC155&lt;data!IA156/data!IC156),texts!A201,"")</f>
        <v/>
      </c>
      <c r="C114" s="246"/>
    </row>
    <row r="115" spans="1:3" x14ac:dyDescent="0.3">
      <c r="A115" s="265">
        <v>9</v>
      </c>
      <c r="B115" s="266" t="str">
        <f>IF(B44&gt;2,texts!A265,"")</f>
        <v/>
      </c>
      <c r="C115" s="246"/>
    </row>
    <row r="116" spans="1:3" x14ac:dyDescent="0.3">
      <c r="A116" s="265">
        <v>10</v>
      </c>
      <c r="B116" s="266" t="str">
        <f>IF(control!E9&gt;=50,texts!A268,"")</f>
        <v/>
      </c>
      <c r="C116" s="246"/>
    </row>
    <row r="117" spans="1:3" x14ac:dyDescent="0.3">
      <c r="A117" s="265">
        <v>11</v>
      </c>
      <c r="B117" s="266" t="str">
        <f>IF(control!E10&gt;0,texts!A269,"")</f>
        <v/>
      </c>
      <c r="C117" s="246"/>
    </row>
    <row r="118" spans="1:3" x14ac:dyDescent="0.3">
      <c r="A118" s="265">
        <v>12</v>
      </c>
      <c r="B118" s="266" t="str">
        <f>IF(control!E17&lt;50,texts!A270,"")</f>
        <v/>
      </c>
      <c r="C118" s="246"/>
    </row>
    <row r="119" spans="1:3" x14ac:dyDescent="0.3">
      <c r="A119" s="265">
        <v>13</v>
      </c>
      <c r="B119" s="266" t="str">
        <f ca="1">IF(B26&gt;B86/100,texts!A276,"")</f>
        <v xml:space="preserve">
Warning: The rate of BECCS and alternatives exceeds what may be feasible according to estimates of the IPCC in the Fifth Assessment Report.</v>
      </c>
      <c r="C119" s="246"/>
    </row>
    <row r="120" spans="1:3" x14ac:dyDescent="0.3">
      <c r="A120" s="265">
        <v>14</v>
      </c>
      <c r="B120" s="266" t="str">
        <f ca="1">IF(control!B29&gt;2220,texts!A280,"")</f>
        <v/>
      </c>
      <c r="C120" s="246"/>
    </row>
    <row r="121" spans="1:3" x14ac:dyDescent="0.3">
      <c r="A121" s="265" t="str">
        <f ca="1">texts!A135</f>
        <v>all warnings</v>
      </c>
      <c r="B121" s="267" t="str">
        <f ca="1">CONCATENATE(B108,B109,B110,B111,B112,B113,B114,B115,B116,B117,B118,B119,B120)</f>
        <v xml:space="preserve">
Warning: The rate of BECCS and alternatives exceeds what may be feasible according to estimates of the IPCC in the Fifth Assessment Report.</v>
      </c>
      <c r="C121" s="246"/>
    </row>
    <row r="122" spans="1:3" x14ac:dyDescent="0.3">
      <c r="A122" s="237" t="str">
        <f ca="1">texts!A129</f>
        <v>caution messages</v>
      </c>
      <c r="C122" s="246"/>
    </row>
    <row r="123" spans="1:3" x14ac:dyDescent="0.3">
      <c r="A123" s="265">
        <v>1</v>
      </c>
      <c r="B123" s="266" t="str">
        <f ca="1">IF(AND(control!B21&gt;1.5,control!B21&lt;2),texts!A134,"")</f>
        <v/>
      </c>
      <c r="C123" s="246"/>
    </row>
    <row r="124" spans="1:3" x14ac:dyDescent="0.3">
      <c r="A124" s="265">
        <v>2</v>
      </c>
      <c r="B124" s="266" t="str">
        <f ca="1">IF(AND(B4&lt;B7,B4&gt;=B6),texts!A18,"")</f>
        <v xml:space="preserve">
Caution: Keeping population growth only slightly above medium variant may require dedicated political measures like intensified development aids.</v>
      </c>
      <c r="C124" s="246"/>
    </row>
    <row r="125" spans="1:3" x14ac:dyDescent="0.3">
      <c r="A125" s="265">
        <v>3</v>
      </c>
      <c r="B125" s="266" t="str">
        <f>IF(B35&gt;1.2,texts!A194,"")</f>
        <v/>
      </c>
      <c r="C125" s="246"/>
    </row>
    <row r="126" spans="1:3" x14ac:dyDescent="0.3">
      <c r="A126" s="265">
        <v>4</v>
      </c>
      <c r="B126" s="266" t="str">
        <f ca="1">IF(B24&gt;0,texts!A196,"")</f>
        <v xml:space="preserve">
Caution:  Societal consent is required to use BECCS or/and DACCS with permanent underground storage of carbon dioxide, hydro-thermal carbonization and storage in soil or other utilization with long-term storage of carbon. This consent may be difficult to acquire!</v>
      </c>
      <c r="C126" s="246"/>
    </row>
    <row r="127" spans="1:3" x14ac:dyDescent="0.3">
      <c r="A127" s="265">
        <v>5</v>
      </c>
      <c r="B127" s="266" t="str">
        <f>IF(AND(B93&lt;0.175,B93&gt;0.072),texts!A223,"")</f>
        <v/>
      </c>
      <c r="C127" s="246"/>
    </row>
    <row r="128" spans="1:3" x14ac:dyDescent="0.3">
      <c r="A128" s="265">
        <v>6</v>
      </c>
      <c r="B128" s="266" t="str">
        <f ca="1">IF(B93&lt;=0.072,texts!A224,"")</f>
        <v xml:space="preserve">
Caution: The future fraction of animal-based food lies below current value. Very intense education and strong political measures will be required to reach this value!</v>
      </c>
      <c r="C128" s="246"/>
    </row>
    <row r="129" spans="1:3" x14ac:dyDescent="0.3">
      <c r="A129" s="265">
        <v>7</v>
      </c>
      <c r="B129" s="266" t="str">
        <f>IF(AND(B44&gt;1.5,B44&lt;2),texts!A266,"")</f>
        <v/>
      </c>
      <c r="C129" s="246"/>
    </row>
    <row r="130" spans="1:3" x14ac:dyDescent="0.3">
      <c r="A130" s="265">
        <v>9</v>
      </c>
      <c r="B130" s="266" t="str">
        <f>IF(control!E15&lt;12,texts!A273,"")</f>
        <v/>
      </c>
      <c r="C130" s="246"/>
    </row>
    <row r="131" spans="1:3" x14ac:dyDescent="0.3">
      <c r="A131" s="265">
        <v>10</v>
      </c>
      <c r="B131" s="266" t="str">
        <f>IF(control!E14&lt;100,texts!A274,"")</f>
        <v/>
      </c>
      <c r="C131" s="246"/>
    </row>
    <row r="132" spans="1:3" x14ac:dyDescent="0.3">
      <c r="A132" s="265">
        <v>11</v>
      </c>
      <c r="B132" s="266" t="str">
        <f>IF(control!E12&lt;1.1,texts!A281,"")</f>
        <v/>
      </c>
      <c r="C132" s="246"/>
    </row>
    <row r="133" spans="1:3" x14ac:dyDescent="0.3">
      <c r="A133" s="265" t="str">
        <f ca="1">texts!A136</f>
        <v>all cautions</v>
      </c>
      <c r="B133" s="266" t="str">
        <f ca="1">CONCATENATE(B123,B124,B125,B126,B127,B128,B129,B130,B131,B132)</f>
        <v xml:space="preserve">
Caution: Keeping population growth only slightly above medium variant may require dedicated political measures like intensified development aids.
Caution:  Societal consent is required to use BECCS or/and DACCS with permanent underground storage of carbon dioxide, hydro-thermal carbonization and storage in soil or other utilization with long-term storage of carbon. This consent may be difficult to acquire!
Caution: The future fraction of animal-based food lies below current value. Very intense education and strong political measures will be required to reach this value!</v>
      </c>
    </row>
  </sheetData>
  <sheetProtection password="F8DD" sheet="1" selectLockedCells="1"/>
  <customSheetViews>
    <customSheetView guid="{19166E14-FA2C-4A8E-94B4-58FB50E3C2AB}" topLeftCell="A63">
      <selection activeCell="B98" sqref="B98"/>
      <pageMargins left="0.7" right="0.7" top="0.78740157499999996" bottom="0.78740157499999996" header="0.3" footer="0.3"/>
      <pageSetup paperSize="9" orientation="portrait" r:id="rId1"/>
    </customSheetView>
    <customSheetView guid="{A04E2617-7092-4ACA-9C80-BFC49C4921F8}" topLeftCell="A63">
      <selection activeCell="B98" sqref="B98"/>
      <pageMargins left="0.7" right="0.7" top="0.78740157499999996" bottom="0.78740157499999996" header="0.3" footer="0.3"/>
      <pageSetup paperSize="9" orientation="portrait" r:id="rId2"/>
    </customSheetView>
  </customSheetViews>
  <hyperlinks>
    <hyperlink ref="D79" r:id="rId3" xr:uid="{15BA6770-E8EA-4F89-A26D-CE7D98FE8B64}"/>
    <hyperlink ref="D88" r:id="rId4" display="http://dx.doi.org/10.1016/j.scitotenv.2017.02.001" xr:uid="{1B306E1A-6CB4-4CBD-B59B-532E890A50C5}"/>
    <hyperlink ref="D43" r:id="rId5" xr:uid="{36654259-2B88-4DB2-9E71-4F6E9C6ACF7B}"/>
  </hyperlinks>
  <pageMargins left="0.7" right="0.7" top="0.78740157499999996" bottom="0.78740157499999996" header="0.3" footer="0.3"/>
  <pageSetup paperSize="9" orientation="portrait" r:id="rId6"/>
  <ignoredErrors>
    <ignoredError sqref="A25 C25" formula="1"/>
  </ignoredError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G306"/>
  <sheetViews>
    <sheetView zoomScale="80" zoomScaleNormal="80" workbookViewId="0">
      <pane xSplit="1" ySplit="5" topLeftCell="HL52" activePane="bottomRight" state="frozen"/>
      <selection pane="topRight" activeCell="B1" sqref="B1"/>
      <selection pane="bottomLeft" activeCell="A6" sqref="A6"/>
      <selection pane="bottomRight" activeCell="IC156" sqref="IC70:IC156"/>
    </sheetView>
  </sheetViews>
  <sheetFormatPr defaultColWidth="11.5546875" defaultRowHeight="14.4" x14ac:dyDescent="0.3"/>
  <cols>
    <col min="1" max="1" width="5.6640625" style="184" customWidth="1"/>
    <col min="2" max="7" width="9.44140625" style="207" customWidth="1"/>
    <col min="8" max="8" width="11.77734375" style="207" customWidth="1"/>
    <col min="9" max="9" width="12.33203125" style="207" customWidth="1"/>
    <col min="10" max="10" width="13.21875" style="207" customWidth="1"/>
    <col min="11" max="11" width="13" style="207" customWidth="1"/>
    <col min="12" max="12" width="12.88671875" style="187" customWidth="1"/>
    <col min="13" max="29" width="11.6640625" style="184" customWidth="1"/>
    <col min="30" max="30" width="11.6640625" style="184" bestFit="1" customWidth="1"/>
    <col min="31" max="31" width="11.6640625" style="212" bestFit="1" customWidth="1"/>
    <col min="32" max="32" width="11.6640625" style="212" customWidth="1"/>
    <col min="33" max="33" width="11.6640625" style="184" bestFit="1" customWidth="1"/>
    <col min="34" max="35" width="11.6640625" style="184" customWidth="1"/>
    <col min="36" max="36" width="11.6640625" style="184" bestFit="1" customWidth="1"/>
    <col min="37" max="37" width="11.6640625" style="192" bestFit="1" customWidth="1"/>
    <col min="38" max="38" width="13.5546875" style="192" bestFit="1" customWidth="1"/>
    <col min="39" max="40" width="12" style="192" customWidth="1"/>
    <col min="41" max="41" width="11.6640625" style="212" bestFit="1" customWidth="1"/>
    <col min="42" max="43" width="11.6640625" style="212" customWidth="1"/>
    <col min="44" max="45" width="11.6640625" style="212" bestFit="1" customWidth="1"/>
    <col min="46" max="47" width="11.6640625" style="212" customWidth="1"/>
    <col min="48" max="48" width="11.6640625" style="214" customWidth="1"/>
    <col min="49" max="49" width="11.6640625" style="212" bestFit="1" customWidth="1"/>
    <col min="50" max="51" width="11.6640625" style="212" customWidth="1"/>
    <col min="52" max="52" width="11.6640625" style="213" customWidth="1"/>
    <col min="53" max="56" width="11.6640625" style="212" customWidth="1"/>
    <col min="57" max="57" width="11.6640625" style="214" customWidth="1"/>
    <col min="58" max="64" width="11.6640625" style="212" customWidth="1"/>
    <col min="65" max="65" width="11.6640625" style="212" bestFit="1" customWidth="1"/>
    <col min="66" max="66" width="11.6640625" style="212" customWidth="1"/>
    <col min="67" max="67" width="11.6640625" style="212" bestFit="1" customWidth="1"/>
    <col min="68" max="68" width="11.6640625" style="212" customWidth="1"/>
    <col min="69" max="70" width="11.6640625" style="212" bestFit="1" customWidth="1"/>
    <col min="71" max="81" width="11.6640625" style="212" customWidth="1"/>
    <col min="82" max="93" width="11.6640625" style="229" customWidth="1"/>
    <col min="94" max="97" width="11.6640625" style="212" customWidth="1"/>
    <col min="98" max="98" width="12.109375" style="190" bestFit="1" customWidth="1"/>
    <col min="99" max="101" width="12" style="190" customWidth="1"/>
    <col min="102" max="102" width="11.6640625" style="198" bestFit="1" customWidth="1"/>
    <col min="103" max="103" width="11.6640625" style="198" customWidth="1"/>
    <col min="104" max="104" width="11.6640625" style="199" bestFit="1" customWidth="1"/>
    <col min="105" max="107" width="11" style="207" customWidth="1"/>
    <col min="108" max="108" width="9.88671875" style="207" customWidth="1"/>
    <col min="109" max="110" width="9.88671875" style="226" customWidth="1"/>
    <col min="111" max="113" width="11.33203125" style="201" customWidth="1"/>
    <col min="114" max="132" width="13.5546875" style="184" bestFit="1" customWidth="1"/>
    <col min="133" max="133" width="12.44140625" style="184" bestFit="1" customWidth="1"/>
    <col min="134" max="134" width="13.5546875" style="184" bestFit="1" customWidth="1"/>
    <col min="135" max="135" width="12" style="212" customWidth="1"/>
    <col min="136" max="139" width="11.6640625" style="212" bestFit="1" customWidth="1"/>
    <col min="140" max="143" width="11.6640625" style="212" customWidth="1"/>
    <col min="144" max="144" width="12" style="212" customWidth="1"/>
    <col min="145" max="147" width="11.6640625" style="212" bestFit="1" customWidth="1"/>
    <col min="148" max="148" width="12.109375" style="215" bestFit="1" customWidth="1"/>
    <col min="149" max="149" width="12.109375" style="209" bestFit="1" customWidth="1"/>
    <col min="150" max="150" width="12" style="212" customWidth="1"/>
    <col min="151" max="151" width="11.6640625" style="215" bestFit="1" customWidth="1"/>
    <col min="152" max="152" width="11.6640625" style="216" bestFit="1" customWidth="1"/>
    <col min="153" max="153" width="11.6640625" style="212" bestFit="1" customWidth="1"/>
    <col min="154" max="154" width="11.6640625" style="212" customWidth="1"/>
    <col min="155" max="155" width="11.6640625" style="212" bestFit="1" customWidth="1"/>
    <col min="156" max="156" width="11.6640625" style="217" bestFit="1" customWidth="1"/>
    <col min="157" max="157" width="11.6640625" style="212" bestFit="1" customWidth="1"/>
    <col min="158" max="158" width="11.6640625" style="212" customWidth="1"/>
    <col min="159" max="160" width="11.6640625" style="212" bestFit="1" customWidth="1"/>
    <col min="161" max="163" width="11.6640625" style="184" bestFit="1" customWidth="1"/>
    <col min="164" max="164" width="11.6640625" style="184" customWidth="1"/>
    <col min="165" max="165" width="12.44140625" style="184" bestFit="1" customWidth="1"/>
    <col min="166" max="166" width="12.44140625" style="184" customWidth="1"/>
    <col min="167" max="168" width="11.6640625" style="184" bestFit="1" customWidth="1"/>
    <col min="169" max="169" width="11.6640625" style="184" customWidth="1"/>
    <col min="170" max="170" width="12" style="212" customWidth="1"/>
    <col min="171" max="175" width="11.88671875" style="212" bestFit="1" customWidth="1"/>
    <col min="176" max="178" width="12" style="212" customWidth="1"/>
    <col min="179" max="182" width="13.5546875" style="184" customWidth="1"/>
    <col min="183" max="220" width="12" style="212" customWidth="1"/>
    <col min="221" max="221" width="11.6640625" style="188" bestFit="1" customWidth="1"/>
    <col min="222" max="227" width="11.88671875" style="185" bestFit="1" customWidth="1"/>
    <col min="228" max="231" width="11.88671875" style="185" customWidth="1"/>
    <col min="232" max="232" width="11.88671875" style="185" bestFit="1" customWidth="1"/>
    <col min="233" max="236" width="11.88671875" style="185" customWidth="1"/>
    <col min="237" max="238" width="11.88671875" style="185" bestFit="1" customWidth="1"/>
    <col min="239" max="16384" width="11.5546875" style="184"/>
  </cols>
  <sheetData>
    <row r="1" spans="1:241" s="140" customFormat="1" x14ac:dyDescent="0.3">
      <c r="B1" s="141" t="s">
        <v>36</v>
      </c>
      <c r="C1" s="141"/>
      <c r="D1" s="141"/>
      <c r="E1" s="141"/>
      <c r="F1" s="141"/>
      <c r="G1" s="141"/>
      <c r="H1" s="142" t="s">
        <v>36</v>
      </c>
      <c r="I1" s="142"/>
      <c r="J1" s="142"/>
      <c r="K1" s="142"/>
      <c r="L1" s="143"/>
      <c r="M1" s="144" t="s">
        <v>598</v>
      </c>
      <c r="N1" s="144"/>
      <c r="O1" s="144"/>
      <c r="P1" s="144"/>
      <c r="Q1" s="144"/>
      <c r="R1" s="144"/>
      <c r="S1" s="144"/>
      <c r="T1" s="144"/>
      <c r="U1" s="144"/>
      <c r="V1" s="144"/>
      <c r="W1" s="144"/>
      <c r="X1" s="145"/>
      <c r="Y1" s="145"/>
      <c r="Z1" s="146"/>
      <c r="AA1" s="146"/>
      <c r="AB1" s="146"/>
      <c r="AC1" s="146"/>
      <c r="AD1" s="146"/>
      <c r="AK1" s="147"/>
      <c r="AL1" s="147"/>
      <c r="AM1" s="147"/>
      <c r="AN1" s="147"/>
      <c r="AO1" s="144"/>
      <c r="AP1" s="144"/>
      <c r="AQ1" s="144"/>
      <c r="AR1" s="144"/>
      <c r="AS1" s="144"/>
      <c r="AT1" s="144"/>
      <c r="AU1" s="144"/>
      <c r="AV1" s="152"/>
      <c r="AW1" s="145"/>
      <c r="AX1" s="145"/>
      <c r="AY1" s="145"/>
      <c r="AZ1" s="148"/>
      <c r="BA1" s="145"/>
      <c r="BB1" s="145"/>
      <c r="BC1" s="145"/>
      <c r="BD1" s="145"/>
      <c r="BE1" s="149"/>
      <c r="BF1" s="145"/>
      <c r="BG1" s="145"/>
      <c r="BH1" s="145"/>
      <c r="BI1" s="145"/>
      <c r="BJ1" s="145"/>
      <c r="BK1" s="145"/>
      <c r="BL1" s="145"/>
      <c r="BM1" s="146"/>
      <c r="BN1" s="146"/>
      <c r="BO1" s="146"/>
      <c r="BP1" s="146"/>
      <c r="BQ1" s="146"/>
      <c r="BR1" s="146"/>
      <c r="BS1" s="145"/>
      <c r="BT1" s="145"/>
      <c r="BU1" s="145"/>
      <c r="BV1" s="145"/>
      <c r="BW1" s="145"/>
      <c r="BX1" s="145"/>
      <c r="BY1" s="146"/>
      <c r="BZ1" s="147"/>
      <c r="CA1" s="147"/>
      <c r="CB1" s="147"/>
      <c r="CC1" s="145"/>
      <c r="CD1" s="150" t="s">
        <v>599</v>
      </c>
      <c r="CE1" s="150"/>
      <c r="CF1" s="150"/>
      <c r="CG1" s="150"/>
      <c r="CH1" s="150"/>
      <c r="CI1" s="150"/>
      <c r="CJ1" s="150"/>
      <c r="CK1" s="150"/>
      <c r="CL1" s="150"/>
      <c r="CM1" s="150"/>
      <c r="CN1" s="150"/>
      <c r="CO1" s="150"/>
      <c r="CP1" s="151" t="s">
        <v>600</v>
      </c>
      <c r="CQ1" s="151"/>
      <c r="CR1" s="151"/>
      <c r="CT1" s="146"/>
      <c r="CU1" s="146"/>
      <c r="CV1" s="146"/>
      <c r="CW1" s="146"/>
      <c r="CX1" s="152"/>
      <c r="CY1" s="152"/>
      <c r="CZ1" s="153"/>
      <c r="DA1" s="141" t="s">
        <v>207</v>
      </c>
      <c r="DB1" s="141"/>
      <c r="DC1" s="141"/>
      <c r="DD1" s="154"/>
      <c r="DE1" s="155"/>
      <c r="DF1" s="155"/>
      <c r="DG1" s="156"/>
      <c r="DH1" s="156"/>
      <c r="DI1" s="156"/>
      <c r="DJ1" s="144" t="s">
        <v>601</v>
      </c>
      <c r="DK1" s="144"/>
      <c r="DL1" s="144"/>
      <c r="DM1" s="144"/>
      <c r="DN1" s="144"/>
      <c r="DO1" s="144"/>
      <c r="DP1" s="144"/>
      <c r="DQ1" s="144"/>
      <c r="DR1" s="144"/>
      <c r="DS1" s="144"/>
      <c r="DT1" s="144"/>
      <c r="DU1" s="144"/>
      <c r="DV1" s="144"/>
      <c r="DW1" s="144"/>
      <c r="DX1" s="144"/>
      <c r="DY1" s="144"/>
      <c r="DZ1" s="144"/>
      <c r="EA1" s="144"/>
      <c r="EB1" s="144"/>
      <c r="EC1" s="144"/>
      <c r="ED1" s="144"/>
      <c r="EE1" s="145"/>
      <c r="EF1" s="145"/>
      <c r="EG1" s="145"/>
      <c r="EH1" s="145"/>
      <c r="EI1" s="145"/>
      <c r="EJ1" s="145"/>
      <c r="EK1" s="145"/>
      <c r="EL1" s="145"/>
      <c r="EM1" s="145"/>
      <c r="EN1" s="145"/>
      <c r="EO1" s="145"/>
      <c r="EP1" s="145"/>
      <c r="EQ1" s="145"/>
      <c r="ER1" s="157"/>
      <c r="ES1" s="158"/>
      <c r="ET1" s="144"/>
      <c r="EU1" s="157"/>
      <c r="EV1" s="159"/>
      <c r="EW1" s="160"/>
      <c r="EX1" s="160"/>
      <c r="EY1" s="160"/>
      <c r="EZ1" s="160"/>
      <c r="FA1" s="144"/>
      <c r="FB1" s="144"/>
      <c r="FC1" s="144"/>
      <c r="FD1" s="144"/>
      <c r="FE1" s="144"/>
      <c r="FF1" s="144"/>
      <c r="FG1" s="144"/>
      <c r="FH1" s="144"/>
      <c r="FI1" s="144"/>
      <c r="FJ1" s="144"/>
      <c r="FK1" s="144"/>
      <c r="FL1" s="144"/>
      <c r="FM1" s="144"/>
      <c r="FN1" s="146"/>
      <c r="FO1" s="145"/>
      <c r="FP1" s="145"/>
      <c r="FQ1" s="145"/>
      <c r="FR1" s="145"/>
      <c r="FS1" s="145"/>
      <c r="FT1" s="145"/>
      <c r="FU1" s="145"/>
      <c r="FV1" s="145"/>
      <c r="FW1" s="145"/>
      <c r="FX1" s="145"/>
      <c r="FY1" s="145"/>
      <c r="FZ1" s="145"/>
      <c r="GA1" s="145"/>
      <c r="GB1" s="145"/>
      <c r="GC1" s="145"/>
      <c r="GD1" s="145"/>
      <c r="GE1" s="145"/>
      <c r="GF1" s="145"/>
      <c r="GG1" s="145"/>
      <c r="GH1" s="145"/>
      <c r="GI1" s="145"/>
      <c r="GJ1" s="145"/>
      <c r="GK1" s="145"/>
      <c r="GL1" s="145"/>
      <c r="GM1" s="145"/>
      <c r="GN1" s="145"/>
      <c r="GO1" s="145"/>
      <c r="GP1" s="145"/>
      <c r="GQ1" s="145"/>
      <c r="GR1" s="145"/>
      <c r="GS1" s="144"/>
      <c r="GT1" s="144"/>
      <c r="GU1" s="145"/>
      <c r="GV1" s="145"/>
      <c r="GW1" s="144"/>
      <c r="GX1" s="144"/>
      <c r="GY1" s="144"/>
      <c r="GZ1" s="144"/>
      <c r="HA1" s="144"/>
      <c r="HB1" s="145"/>
      <c r="HC1" s="145"/>
      <c r="HD1" s="145"/>
      <c r="HE1" s="145"/>
      <c r="HF1" s="145"/>
      <c r="HG1" s="145"/>
      <c r="HH1" s="145"/>
      <c r="HI1" s="145"/>
      <c r="HJ1" s="145"/>
      <c r="HK1" s="145"/>
      <c r="HL1" s="145"/>
      <c r="HM1" s="144" t="s">
        <v>602</v>
      </c>
      <c r="HN1" s="141"/>
      <c r="HO1" s="141"/>
      <c r="HP1" s="141"/>
      <c r="HQ1" s="141"/>
      <c r="HR1" s="141"/>
      <c r="HS1" s="141"/>
      <c r="HT1" s="141"/>
      <c r="HU1" s="141"/>
      <c r="HV1" s="141"/>
      <c r="HW1" s="141"/>
      <c r="HX1" s="141"/>
      <c r="HY1" s="141"/>
      <c r="HZ1" s="141"/>
      <c r="IA1" s="141"/>
      <c r="IB1" s="141"/>
      <c r="IC1" s="141"/>
      <c r="ID1" s="141"/>
      <c r="IE1" s="144"/>
      <c r="IF1" s="144"/>
    </row>
    <row r="2" spans="1:241" s="161" customFormat="1" ht="115.2" x14ac:dyDescent="0.3">
      <c r="A2" s="161" t="s">
        <v>139</v>
      </c>
      <c r="B2" s="162" t="s">
        <v>603</v>
      </c>
      <c r="C2" s="163" t="s">
        <v>604</v>
      </c>
      <c r="D2" s="163" t="s">
        <v>605</v>
      </c>
      <c r="E2" s="162" t="s">
        <v>606</v>
      </c>
      <c r="F2" s="162" t="s">
        <v>607</v>
      </c>
      <c r="G2" s="162" t="s">
        <v>608</v>
      </c>
      <c r="H2" s="164" t="s">
        <v>603</v>
      </c>
      <c r="I2" s="164" t="s">
        <v>606</v>
      </c>
      <c r="J2" s="164" t="s">
        <v>607</v>
      </c>
      <c r="K2" s="164" t="s">
        <v>608</v>
      </c>
      <c r="L2" s="165" t="s">
        <v>62</v>
      </c>
      <c r="M2" s="166" t="s">
        <v>609</v>
      </c>
      <c r="N2" s="167" t="s">
        <v>610</v>
      </c>
      <c r="O2" s="167" t="s">
        <v>611</v>
      </c>
      <c r="P2" s="166" t="s">
        <v>137</v>
      </c>
      <c r="Q2" s="166" t="s">
        <v>135</v>
      </c>
      <c r="R2" s="166" t="s">
        <v>133</v>
      </c>
      <c r="S2" s="166" t="s">
        <v>131</v>
      </c>
      <c r="T2" s="166" t="s">
        <v>129</v>
      </c>
      <c r="U2" s="166" t="s">
        <v>128</v>
      </c>
      <c r="V2" s="166" t="s">
        <v>127</v>
      </c>
      <c r="W2" s="166" t="s">
        <v>612</v>
      </c>
      <c r="X2" s="168" t="s">
        <v>613</v>
      </c>
      <c r="Y2" s="168" t="s">
        <v>613</v>
      </c>
      <c r="Z2" s="169" t="s">
        <v>614</v>
      </c>
      <c r="AA2" s="169" t="s">
        <v>615</v>
      </c>
      <c r="AB2" s="169" t="s">
        <v>614</v>
      </c>
      <c r="AC2" s="169" t="s">
        <v>615</v>
      </c>
      <c r="AD2" s="169" t="s">
        <v>616</v>
      </c>
      <c r="AE2" s="161" t="s">
        <v>617</v>
      </c>
      <c r="AF2" s="161" t="s">
        <v>618</v>
      </c>
      <c r="AG2" s="161" t="s">
        <v>619</v>
      </c>
      <c r="AH2" s="167" t="s">
        <v>620</v>
      </c>
      <c r="AI2" s="167" t="s">
        <v>621</v>
      </c>
      <c r="AJ2" s="161" t="s">
        <v>886</v>
      </c>
      <c r="AK2" s="170" t="s">
        <v>887</v>
      </c>
      <c r="AL2" s="170" t="s">
        <v>888</v>
      </c>
      <c r="AM2" s="170" t="s">
        <v>888</v>
      </c>
      <c r="AN2" s="170" t="s">
        <v>965</v>
      </c>
      <c r="AO2" s="166" t="s">
        <v>622</v>
      </c>
      <c r="AP2" s="166" t="s">
        <v>623</v>
      </c>
      <c r="AQ2" s="166" t="s">
        <v>624</v>
      </c>
      <c r="AR2" s="166" t="s">
        <v>625</v>
      </c>
      <c r="AS2" s="166" t="s">
        <v>626</v>
      </c>
      <c r="AT2" s="166" t="s">
        <v>627</v>
      </c>
      <c r="AU2" s="166" t="s">
        <v>628</v>
      </c>
      <c r="AV2" s="175" t="s">
        <v>866</v>
      </c>
      <c r="AW2" s="168" t="s">
        <v>629</v>
      </c>
      <c r="AX2" s="168" t="s">
        <v>630</v>
      </c>
      <c r="AY2" s="168" t="s">
        <v>889</v>
      </c>
      <c r="AZ2" s="171" t="s">
        <v>890</v>
      </c>
      <c r="BA2" s="168" t="s">
        <v>631</v>
      </c>
      <c r="BB2" s="168" t="s">
        <v>632</v>
      </c>
      <c r="BC2" s="168" t="s">
        <v>633</v>
      </c>
      <c r="BD2" s="168" t="s">
        <v>634</v>
      </c>
      <c r="BE2" s="172" t="s">
        <v>894</v>
      </c>
      <c r="BF2" s="168" t="s">
        <v>895</v>
      </c>
      <c r="BG2" s="168" t="s">
        <v>896</v>
      </c>
      <c r="BH2" s="168" t="s">
        <v>897</v>
      </c>
      <c r="BI2" s="168" t="s">
        <v>906</v>
      </c>
      <c r="BJ2" s="168" t="s">
        <v>907</v>
      </c>
      <c r="BK2" s="168" t="s">
        <v>908</v>
      </c>
      <c r="BL2" s="168" t="s">
        <v>920</v>
      </c>
      <c r="BM2" s="169" t="s">
        <v>909</v>
      </c>
      <c r="BN2" s="169" t="s">
        <v>910</v>
      </c>
      <c r="BO2" s="169" t="s">
        <v>911</v>
      </c>
      <c r="BP2" s="169" t="s">
        <v>912</v>
      </c>
      <c r="BQ2" s="169" t="s">
        <v>636</v>
      </c>
      <c r="BR2" s="169" t="s">
        <v>637</v>
      </c>
      <c r="BS2" s="168" t="s">
        <v>913</v>
      </c>
      <c r="BT2" s="168" t="s">
        <v>810</v>
      </c>
      <c r="BU2" s="168" t="s">
        <v>916</v>
      </c>
      <c r="BV2" s="168" t="s">
        <v>914</v>
      </c>
      <c r="BW2" s="168" t="s">
        <v>915</v>
      </c>
      <c r="BX2" s="168" t="s">
        <v>919</v>
      </c>
      <c r="BY2" s="169" t="s">
        <v>638</v>
      </c>
      <c r="BZ2" s="170" t="s">
        <v>1049</v>
      </c>
      <c r="CA2" s="170" t="s">
        <v>1050</v>
      </c>
      <c r="CB2" s="170" t="s">
        <v>823</v>
      </c>
      <c r="CC2" s="168" t="s">
        <v>635</v>
      </c>
      <c r="CD2" s="173" t="str">
        <f ca="1">texts!A83</f>
        <v>year</v>
      </c>
      <c r="CE2" s="173" t="str">
        <f ca="1">texts!A82</f>
        <v>crude oil</v>
      </c>
      <c r="CF2" s="173" t="str">
        <f ca="1">texts!A81</f>
        <v>natural gas</v>
      </c>
      <c r="CG2" s="173" t="str">
        <f ca="1">texts!A80</f>
        <v>coal</v>
      </c>
      <c r="CH2" s="173" t="str">
        <f ca="1">texts!A79</f>
        <v>nuclear</v>
      </c>
      <c r="CI2" s="173" t="str">
        <f ca="1">texts!A78</f>
        <v>fossils from 2019</v>
      </c>
      <c r="CJ2" s="173" t="str">
        <f ca="1">texts!A77</f>
        <v>hydro electricity</v>
      </c>
      <c r="CK2" s="173" t="str">
        <f ca="1">texts!A76</f>
        <v>bio/CO2-fuels</v>
      </c>
      <c r="CL2" s="173" t="str">
        <f ca="1">texts!A75</f>
        <v>BECCS</v>
      </c>
      <c r="CM2" s="173" t="str">
        <f ca="1">texts!A74</f>
        <v>solar to 2018</v>
      </c>
      <c r="CN2" s="173" t="str">
        <f ca="1">texts!A73</f>
        <v>wind to 2018</v>
      </c>
      <c r="CO2" s="173" t="str">
        <f ca="1">texts!A72</f>
        <v>solar &amp; wind</v>
      </c>
      <c r="CP2" s="174" t="s">
        <v>1294</v>
      </c>
      <c r="CQ2" s="174" t="s">
        <v>812</v>
      </c>
      <c r="CR2" s="174" t="s">
        <v>842</v>
      </c>
      <c r="CS2" s="161" t="s">
        <v>1178</v>
      </c>
      <c r="CT2" s="169" t="s">
        <v>639</v>
      </c>
      <c r="CU2" s="169" t="s">
        <v>1297</v>
      </c>
      <c r="CV2" s="169" t="s">
        <v>1295</v>
      </c>
      <c r="CW2" s="169" t="s">
        <v>1296</v>
      </c>
      <c r="CX2" s="175" t="s">
        <v>640</v>
      </c>
      <c r="CY2" s="169" t="s">
        <v>1298</v>
      </c>
      <c r="CZ2" s="176" t="s">
        <v>843</v>
      </c>
      <c r="DA2" s="162" t="s">
        <v>641</v>
      </c>
      <c r="DB2" s="162" t="s">
        <v>642</v>
      </c>
      <c r="DC2" s="162" t="s">
        <v>643</v>
      </c>
      <c r="DD2" s="177" t="s">
        <v>644</v>
      </c>
      <c r="DE2" s="178" t="s">
        <v>645</v>
      </c>
      <c r="DF2" s="178" t="s">
        <v>646</v>
      </c>
      <c r="DG2" s="179" t="s">
        <v>1194</v>
      </c>
      <c r="DH2" s="179" t="s">
        <v>1195</v>
      </c>
      <c r="DI2" s="179" t="s">
        <v>1196</v>
      </c>
      <c r="DJ2" s="166" t="s">
        <v>647</v>
      </c>
      <c r="DK2" s="166" t="s">
        <v>648</v>
      </c>
      <c r="DL2" s="166" t="s">
        <v>649</v>
      </c>
      <c r="DM2" s="166" t="s">
        <v>650</v>
      </c>
      <c r="DN2" s="166" t="s">
        <v>651</v>
      </c>
      <c r="DO2" s="166" t="s">
        <v>652</v>
      </c>
      <c r="DP2" s="166" t="s">
        <v>653</v>
      </c>
      <c r="DQ2" s="166" t="s">
        <v>654</v>
      </c>
      <c r="DR2" s="166" t="s">
        <v>655</v>
      </c>
      <c r="DS2" s="166" t="s">
        <v>656</v>
      </c>
      <c r="DT2" s="166" t="s">
        <v>657</v>
      </c>
      <c r="DU2" s="166" t="s">
        <v>658</v>
      </c>
      <c r="DV2" s="166" t="s">
        <v>659</v>
      </c>
      <c r="DW2" s="166" t="s">
        <v>660</v>
      </c>
      <c r="DX2" s="166" t="s">
        <v>661</v>
      </c>
      <c r="DY2" s="166" t="s">
        <v>662</v>
      </c>
      <c r="DZ2" s="166" t="s">
        <v>663</v>
      </c>
      <c r="EA2" s="166" t="s">
        <v>664</v>
      </c>
      <c r="EB2" s="166" t="s">
        <v>665</v>
      </c>
      <c r="EC2" s="166" t="s">
        <v>666</v>
      </c>
      <c r="ED2" s="166" t="s">
        <v>667</v>
      </c>
      <c r="EE2" s="168" t="s">
        <v>668</v>
      </c>
      <c r="EF2" s="168" t="s">
        <v>669</v>
      </c>
      <c r="EG2" s="168" t="s">
        <v>670</v>
      </c>
      <c r="EH2" s="168" t="s">
        <v>671</v>
      </c>
      <c r="EI2" s="168" t="s">
        <v>672</v>
      </c>
      <c r="EJ2" s="168" t="s">
        <v>673</v>
      </c>
      <c r="EK2" s="168" t="s">
        <v>674</v>
      </c>
      <c r="EL2" s="168" t="s">
        <v>675</v>
      </c>
      <c r="EM2" s="168" t="s">
        <v>676</v>
      </c>
      <c r="EN2" s="168" t="s">
        <v>677</v>
      </c>
      <c r="EO2" s="168" t="s">
        <v>678</v>
      </c>
      <c r="EP2" s="168" t="s">
        <v>679</v>
      </c>
      <c r="EQ2" s="168" t="s">
        <v>680</v>
      </c>
      <c r="ER2" s="180" t="s">
        <v>681</v>
      </c>
      <c r="ES2" s="181" t="s">
        <v>682</v>
      </c>
      <c r="ET2" s="166" t="s">
        <v>683</v>
      </c>
      <c r="EU2" s="180" t="s">
        <v>684</v>
      </c>
      <c r="EV2" s="182" t="s">
        <v>684</v>
      </c>
      <c r="EW2" s="183" t="s">
        <v>685</v>
      </c>
      <c r="EX2" s="183" t="s">
        <v>949</v>
      </c>
      <c r="EY2" s="183" t="s">
        <v>686</v>
      </c>
      <c r="EZ2" s="183" t="s">
        <v>687</v>
      </c>
      <c r="FA2" s="166" t="s">
        <v>688</v>
      </c>
      <c r="FB2" s="166" t="s">
        <v>950</v>
      </c>
      <c r="FC2" s="166" t="s">
        <v>689</v>
      </c>
      <c r="FD2" s="166" t="s">
        <v>690</v>
      </c>
      <c r="FE2" s="166" t="s">
        <v>691</v>
      </c>
      <c r="FF2" s="166" t="s">
        <v>692</v>
      </c>
      <c r="FG2" s="166" t="s">
        <v>693</v>
      </c>
      <c r="FH2" s="166" t="s">
        <v>694</v>
      </c>
      <c r="FI2" s="166" t="s">
        <v>695</v>
      </c>
      <c r="FJ2" s="166" t="s">
        <v>696</v>
      </c>
      <c r="FK2" s="166" t="s">
        <v>697</v>
      </c>
      <c r="FL2" s="166" t="s">
        <v>698</v>
      </c>
      <c r="FM2" s="166" t="s">
        <v>699</v>
      </c>
      <c r="FN2" s="169" t="s">
        <v>1168</v>
      </c>
      <c r="FO2" s="168" t="s">
        <v>654</v>
      </c>
      <c r="FP2" s="168" t="s">
        <v>648</v>
      </c>
      <c r="FQ2" s="168" t="s">
        <v>700</v>
      </c>
      <c r="FR2" s="168" t="s">
        <v>518</v>
      </c>
      <c r="FS2" s="168" t="s">
        <v>701</v>
      </c>
      <c r="FT2" s="168" t="s">
        <v>702</v>
      </c>
      <c r="FU2" s="168" t="s">
        <v>820</v>
      </c>
      <c r="FV2" s="168" t="s">
        <v>703</v>
      </c>
      <c r="FW2" s="168" t="s">
        <v>704</v>
      </c>
      <c r="FX2" s="168" t="s">
        <v>705</v>
      </c>
      <c r="FY2" s="168" t="s">
        <v>307</v>
      </c>
      <c r="FZ2" s="168" t="s">
        <v>706</v>
      </c>
      <c r="GA2" s="168" t="s">
        <v>707</v>
      </c>
      <c r="GB2" s="168" t="s">
        <v>708</v>
      </c>
      <c r="GC2" s="168" t="s">
        <v>709</v>
      </c>
      <c r="GD2" s="168" t="s">
        <v>710</v>
      </c>
      <c r="GE2" s="168" t="s">
        <v>711</v>
      </c>
      <c r="GF2" s="168" t="s">
        <v>712</v>
      </c>
      <c r="GG2" s="168" t="s">
        <v>713</v>
      </c>
      <c r="GH2" s="168" t="s">
        <v>714</v>
      </c>
      <c r="GI2" s="168" t="s">
        <v>715</v>
      </c>
      <c r="GJ2" s="168" t="s">
        <v>716</v>
      </c>
      <c r="GK2" s="168" t="s">
        <v>717</v>
      </c>
      <c r="GL2" s="168" t="s">
        <v>718</v>
      </c>
      <c r="GM2" s="168" t="s">
        <v>719</v>
      </c>
      <c r="GN2" s="168" t="s">
        <v>720</v>
      </c>
      <c r="GO2" s="168" t="s">
        <v>721</v>
      </c>
      <c r="GP2" s="168" t="s">
        <v>722</v>
      </c>
      <c r="GQ2" s="168" t="s">
        <v>1153</v>
      </c>
      <c r="GR2" s="168" t="s">
        <v>723</v>
      </c>
      <c r="GS2" s="166" t="s">
        <v>1151</v>
      </c>
      <c r="GT2" s="166" t="s">
        <v>1154</v>
      </c>
      <c r="GU2" s="168" t="s">
        <v>1143</v>
      </c>
      <c r="GV2" s="168" t="s">
        <v>299</v>
      </c>
      <c r="GW2" s="166" t="s">
        <v>1144</v>
      </c>
      <c r="GX2" s="166" t="s">
        <v>1158</v>
      </c>
      <c r="GY2" s="166" t="s">
        <v>1157</v>
      </c>
      <c r="GZ2" s="166" t="s">
        <v>1159</v>
      </c>
      <c r="HA2" s="166" t="s">
        <v>1156</v>
      </c>
      <c r="HB2" s="168" t="s">
        <v>1155</v>
      </c>
      <c r="HC2" s="168" t="s">
        <v>1160</v>
      </c>
      <c r="HD2" s="168" t="s">
        <v>1172</v>
      </c>
      <c r="HE2" s="168" t="s">
        <v>1173</v>
      </c>
      <c r="HF2" s="168" t="s">
        <v>1174</v>
      </c>
      <c r="HG2" s="168" t="s">
        <v>1175</v>
      </c>
      <c r="HH2" s="168" t="s">
        <v>1199</v>
      </c>
      <c r="HI2" s="168" t="s">
        <v>1197</v>
      </c>
      <c r="HJ2" s="168" t="s">
        <v>1198</v>
      </c>
      <c r="HK2" s="168" t="s">
        <v>1177</v>
      </c>
      <c r="HL2" s="168" t="s">
        <v>1176</v>
      </c>
      <c r="HM2" s="166" t="s">
        <v>139</v>
      </c>
      <c r="HN2" s="162" t="str">
        <f>DG2</f>
        <v>(after 2017: available) cropland</v>
      </c>
      <c r="HO2" s="162" t="str">
        <f>DH2</f>
        <v>(after 2017: available) permanent meadows and pastures</v>
      </c>
      <c r="HP2" s="162" t="str">
        <f>DI2</f>
        <v>(after 2017: available) forest land</v>
      </c>
      <c r="HQ2" s="162" t="s">
        <v>724</v>
      </c>
      <c r="HR2" s="162" t="s">
        <v>725</v>
      </c>
      <c r="HS2" s="162" t="s">
        <v>726</v>
      </c>
      <c r="HT2" s="162" t="s">
        <v>717</v>
      </c>
      <c r="HU2" s="162" t="s">
        <v>727</v>
      </c>
      <c r="HV2" s="162" t="s">
        <v>728</v>
      </c>
      <c r="HW2" s="162" t="s">
        <v>729</v>
      </c>
      <c r="HX2" s="162" t="s">
        <v>730</v>
      </c>
      <c r="HY2" s="162" t="s">
        <v>731</v>
      </c>
      <c r="HZ2" s="162" t="s">
        <v>732</v>
      </c>
      <c r="IA2" s="162" t="s">
        <v>733</v>
      </c>
      <c r="IB2" s="162" t="s">
        <v>734</v>
      </c>
      <c r="IC2" s="162" t="s">
        <v>735</v>
      </c>
      <c r="ID2" s="162" t="s">
        <v>736</v>
      </c>
      <c r="IE2" s="166" t="s">
        <v>737</v>
      </c>
      <c r="IF2" s="166" t="s">
        <v>738</v>
      </c>
    </row>
    <row r="3" spans="1:241" ht="28.8" x14ac:dyDescent="0.3">
      <c r="B3" s="185" t="s">
        <v>739</v>
      </c>
      <c r="C3" s="185" t="s">
        <v>739</v>
      </c>
      <c r="D3" s="185" t="s">
        <v>739</v>
      </c>
      <c r="E3" s="185" t="s">
        <v>739</v>
      </c>
      <c r="F3" s="185" t="s">
        <v>739</v>
      </c>
      <c r="G3" s="185" t="s">
        <v>739</v>
      </c>
      <c r="H3" s="186" t="s">
        <v>740</v>
      </c>
      <c r="I3" s="186" t="s">
        <v>740</v>
      </c>
      <c r="J3" s="186" t="s">
        <v>740</v>
      </c>
      <c r="K3" s="186" t="s">
        <v>740</v>
      </c>
      <c r="L3" s="187" t="s">
        <v>740</v>
      </c>
      <c r="M3" s="188" t="s">
        <v>741</v>
      </c>
      <c r="N3" s="188" t="s">
        <v>741</v>
      </c>
      <c r="O3" s="188" t="s">
        <v>741</v>
      </c>
      <c r="P3" s="188" t="s">
        <v>741</v>
      </c>
      <c r="Q3" s="188" t="s">
        <v>741</v>
      </c>
      <c r="R3" s="188" t="s">
        <v>741</v>
      </c>
      <c r="S3" s="188" t="s">
        <v>741</v>
      </c>
      <c r="T3" s="188" t="s">
        <v>741</v>
      </c>
      <c r="U3" s="188" t="s">
        <v>741</v>
      </c>
      <c r="V3" s="188" t="s">
        <v>741</v>
      </c>
      <c r="W3" s="188" t="s">
        <v>741</v>
      </c>
      <c r="X3" s="189" t="s">
        <v>742</v>
      </c>
      <c r="Y3" s="189" t="s">
        <v>741</v>
      </c>
      <c r="Z3" s="190" t="s">
        <v>743</v>
      </c>
      <c r="AA3" s="190" t="s">
        <v>743</v>
      </c>
      <c r="AB3" s="190" t="s">
        <v>744</v>
      </c>
      <c r="AC3" s="190" t="s">
        <v>744</v>
      </c>
      <c r="AD3" s="190" t="s">
        <v>744</v>
      </c>
      <c r="AE3" s="184" t="s">
        <v>741</v>
      </c>
      <c r="AF3" s="191" t="s">
        <v>745</v>
      </c>
      <c r="AG3" s="184" t="s">
        <v>746</v>
      </c>
      <c r="AH3" s="184" t="s">
        <v>746</v>
      </c>
      <c r="AI3" s="184" t="s">
        <v>746</v>
      </c>
      <c r="AJ3" s="184" t="s">
        <v>746</v>
      </c>
      <c r="AK3" s="192" t="s">
        <v>746</v>
      </c>
      <c r="AL3" s="192" t="s">
        <v>747</v>
      </c>
      <c r="AM3" s="192" t="s">
        <v>741</v>
      </c>
      <c r="AN3" s="192" t="s">
        <v>741</v>
      </c>
      <c r="AO3" s="193" t="s">
        <v>748</v>
      </c>
      <c r="AP3" s="193" t="s">
        <v>748</v>
      </c>
      <c r="AQ3" s="193" t="s">
        <v>748</v>
      </c>
      <c r="AR3" s="188" t="s">
        <v>749</v>
      </c>
      <c r="AS3" s="188" t="s">
        <v>749</v>
      </c>
      <c r="AT3" s="193" t="s">
        <v>748</v>
      </c>
      <c r="AU3" s="193" t="s">
        <v>748</v>
      </c>
      <c r="AV3" s="331" t="s">
        <v>806</v>
      </c>
      <c r="AW3" s="189" t="s">
        <v>741</v>
      </c>
      <c r="AX3" s="189" t="s">
        <v>750</v>
      </c>
      <c r="AY3" s="189" t="s">
        <v>741</v>
      </c>
      <c r="AZ3" s="195" t="s">
        <v>748</v>
      </c>
      <c r="BA3" s="194" t="s">
        <v>748</v>
      </c>
      <c r="BB3" s="194" t="s">
        <v>741</v>
      </c>
      <c r="BC3" s="194" t="s">
        <v>741</v>
      </c>
      <c r="BD3" s="194" t="s">
        <v>741</v>
      </c>
      <c r="BE3" s="196" t="s">
        <v>918</v>
      </c>
      <c r="BF3" s="196" t="s">
        <v>918</v>
      </c>
      <c r="BG3" s="196" t="s">
        <v>918</v>
      </c>
      <c r="BH3" s="194" t="s">
        <v>811</v>
      </c>
      <c r="BI3" s="194" t="s">
        <v>741</v>
      </c>
      <c r="BJ3" s="194" t="s">
        <v>741</v>
      </c>
      <c r="BK3" s="194" t="s">
        <v>741</v>
      </c>
      <c r="BL3" s="194" t="s">
        <v>741</v>
      </c>
      <c r="BM3" s="190" t="s">
        <v>741</v>
      </c>
      <c r="BN3" s="190" t="s">
        <v>741</v>
      </c>
      <c r="BO3" s="190" t="s">
        <v>741</v>
      </c>
      <c r="BP3" s="190" t="s">
        <v>741</v>
      </c>
      <c r="BQ3" s="190" t="s">
        <v>741</v>
      </c>
      <c r="BR3" s="190"/>
      <c r="BS3" s="194" t="s">
        <v>811</v>
      </c>
      <c r="BT3" s="194" t="s">
        <v>811</v>
      </c>
      <c r="BU3" s="194"/>
      <c r="BV3" s="194" t="s">
        <v>741</v>
      </c>
      <c r="BW3" s="194" t="s">
        <v>741</v>
      </c>
      <c r="BX3" s="194" t="s">
        <v>741</v>
      </c>
      <c r="BY3" s="197" t="s">
        <v>748</v>
      </c>
      <c r="BZ3" s="318" t="s">
        <v>826</v>
      </c>
      <c r="CA3" s="318" t="s">
        <v>826</v>
      </c>
      <c r="CB3" s="318" t="s">
        <v>826</v>
      </c>
      <c r="CC3" s="194" t="s">
        <v>746</v>
      </c>
      <c r="CD3" s="173"/>
      <c r="CE3" s="173" t="str">
        <f>P3</f>
        <v>Mtoe/a</v>
      </c>
      <c r="CF3" s="173" t="str">
        <f>Q3</f>
        <v>Mtoe/a</v>
      </c>
      <c r="CG3" s="173" t="str">
        <f>R3</f>
        <v>Mtoe/a</v>
      </c>
      <c r="CH3" s="173" t="str">
        <f>S3</f>
        <v>Mtoe/a</v>
      </c>
      <c r="CI3" s="173" t="str">
        <f>BQ3</f>
        <v>Mtoe/a</v>
      </c>
      <c r="CJ3" s="173" t="str">
        <f>T3</f>
        <v>Mtoe/a</v>
      </c>
      <c r="CK3" s="173" t="str">
        <f>Y3</f>
        <v>Mtoe/a</v>
      </c>
      <c r="CL3" s="173" t="str">
        <f>W3</f>
        <v>Mtoe/a</v>
      </c>
      <c r="CM3" s="173" t="str">
        <f>U3</f>
        <v>Mtoe/a</v>
      </c>
      <c r="CN3" s="173" t="str">
        <f>V3</f>
        <v>Mtoe/a</v>
      </c>
      <c r="CO3" s="173" t="str">
        <f>BO3</f>
        <v>Mtoe/a</v>
      </c>
      <c r="CP3" s="184" t="s">
        <v>744</v>
      </c>
      <c r="CQ3" s="184" t="s">
        <v>744</v>
      </c>
      <c r="CR3" s="184" t="s">
        <v>751</v>
      </c>
      <c r="CS3" s="184" t="s">
        <v>744</v>
      </c>
      <c r="CT3" s="190" t="s">
        <v>752</v>
      </c>
      <c r="CU3" s="190" t="s">
        <v>744</v>
      </c>
      <c r="CV3" s="190" t="s">
        <v>751</v>
      </c>
      <c r="CW3" s="190" t="s">
        <v>751</v>
      </c>
      <c r="CX3" s="198" t="s">
        <v>751</v>
      </c>
      <c r="CY3" s="198" t="s">
        <v>751</v>
      </c>
      <c r="CZ3" s="199" t="s">
        <v>753</v>
      </c>
      <c r="DA3" s="185" t="s">
        <v>754</v>
      </c>
      <c r="DB3" s="185" t="s">
        <v>754</v>
      </c>
      <c r="DC3" s="185" t="s">
        <v>754</v>
      </c>
      <c r="DD3" s="200" t="s">
        <v>748</v>
      </c>
      <c r="DE3" s="200" t="s">
        <v>748</v>
      </c>
      <c r="DF3" s="200" t="s">
        <v>748</v>
      </c>
      <c r="DG3" s="201" t="s">
        <v>755</v>
      </c>
      <c r="DH3" s="201" t="s">
        <v>755</v>
      </c>
      <c r="DI3" s="201" t="s">
        <v>755</v>
      </c>
      <c r="DJ3" s="166" t="s">
        <v>533</v>
      </c>
      <c r="DK3" s="166" t="s">
        <v>533</v>
      </c>
      <c r="DL3" s="166" t="s">
        <v>533</v>
      </c>
      <c r="DM3" s="166" t="s">
        <v>533</v>
      </c>
      <c r="DN3" s="166" t="s">
        <v>533</v>
      </c>
      <c r="DO3" s="166" t="s">
        <v>533</v>
      </c>
      <c r="DP3" s="166" t="s">
        <v>533</v>
      </c>
      <c r="DQ3" s="166" t="s">
        <v>533</v>
      </c>
      <c r="DR3" s="166" t="s">
        <v>533</v>
      </c>
      <c r="DS3" s="166" t="s">
        <v>533</v>
      </c>
      <c r="DT3" s="166" t="s">
        <v>533</v>
      </c>
      <c r="DU3" s="166" t="s">
        <v>533</v>
      </c>
      <c r="DV3" s="166" t="s">
        <v>533</v>
      </c>
      <c r="DW3" s="166" t="s">
        <v>533</v>
      </c>
      <c r="DX3" s="166" t="s">
        <v>533</v>
      </c>
      <c r="DY3" s="166" t="s">
        <v>533</v>
      </c>
      <c r="DZ3" s="166" t="s">
        <v>533</v>
      </c>
      <c r="EA3" s="166" t="s">
        <v>533</v>
      </c>
      <c r="EB3" s="166" t="s">
        <v>533</v>
      </c>
      <c r="EC3" s="166" t="s">
        <v>533</v>
      </c>
      <c r="ED3" s="166" t="s">
        <v>533</v>
      </c>
      <c r="EE3" s="189" t="s">
        <v>535</v>
      </c>
      <c r="EF3" s="202" t="s">
        <v>535</v>
      </c>
      <c r="EG3" s="194" t="s">
        <v>748</v>
      </c>
      <c r="EH3" s="194" t="s">
        <v>748</v>
      </c>
      <c r="EI3" s="194" t="s">
        <v>748</v>
      </c>
      <c r="EJ3" s="194" t="s">
        <v>748</v>
      </c>
      <c r="EK3" s="194" t="s">
        <v>748</v>
      </c>
      <c r="EL3" s="194" t="s">
        <v>748</v>
      </c>
      <c r="EM3" s="194" t="s">
        <v>748</v>
      </c>
      <c r="EN3" s="189" t="s">
        <v>535</v>
      </c>
      <c r="EO3" s="202" t="s">
        <v>535</v>
      </c>
      <c r="EP3" s="202" t="s">
        <v>535</v>
      </c>
      <c r="EQ3" s="202" t="s">
        <v>535</v>
      </c>
      <c r="ER3" s="180" t="s">
        <v>756</v>
      </c>
      <c r="ES3" s="180" t="s">
        <v>757</v>
      </c>
      <c r="ET3" s="180" t="s">
        <v>756</v>
      </c>
      <c r="EU3" s="180" t="s">
        <v>756</v>
      </c>
      <c r="EV3" s="182" t="s">
        <v>758</v>
      </c>
      <c r="EW3" s="203" t="s">
        <v>759</v>
      </c>
      <c r="EX3" s="203" t="s">
        <v>759</v>
      </c>
      <c r="EY3" s="203" t="s">
        <v>759</v>
      </c>
      <c r="EZ3" s="203" t="s">
        <v>759</v>
      </c>
      <c r="FA3" s="193" t="s">
        <v>760</v>
      </c>
      <c r="FB3" s="193" t="s">
        <v>760</v>
      </c>
      <c r="FC3" s="193" t="s">
        <v>760</v>
      </c>
      <c r="FD3" s="193" t="s">
        <v>760</v>
      </c>
      <c r="FE3" s="193" t="s">
        <v>760</v>
      </c>
      <c r="FF3" s="193" t="s">
        <v>760</v>
      </c>
      <c r="FG3" s="193" t="s">
        <v>760</v>
      </c>
      <c r="FH3" s="193" t="s">
        <v>760</v>
      </c>
      <c r="FI3" s="193" t="s">
        <v>760</v>
      </c>
      <c r="FJ3" s="193" t="s">
        <v>760</v>
      </c>
      <c r="FK3" s="193" t="s">
        <v>760</v>
      </c>
      <c r="FL3" s="193" t="s">
        <v>760</v>
      </c>
      <c r="FM3" s="193" t="s">
        <v>760</v>
      </c>
      <c r="FN3" s="197" t="s">
        <v>748</v>
      </c>
      <c r="FO3" s="202" t="s">
        <v>533</v>
      </c>
      <c r="FP3" s="202" t="s">
        <v>533</v>
      </c>
      <c r="FQ3" s="202" t="s">
        <v>761</v>
      </c>
      <c r="FR3" s="202" t="s">
        <v>533</v>
      </c>
      <c r="FS3" s="202" t="s">
        <v>761</v>
      </c>
      <c r="FT3" s="189" t="s">
        <v>758</v>
      </c>
      <c r="FU3" s="189" t="s">
        <v>584</v>
      </c>
      <c r="FV3" s="189" t="s">
        <v>761</v>
      </c>
      <c r="FW3" s="168" t="s">
        <v>761</v>
      </c>
      <c r="FX3" s="168" t="s">
        <v>761</v>
      </c>
      <c r="FY3" s="168" t="s">
        <v>762</v>
      </c>
      <c r="FZ3" s="168" t="s">
        <v>763</v>
      </c>
      <c r="GA3" s="189" t="s">
        <v>762</v>
      </c>
      <c r="GB3" s="189" t="s">
        <v>761</v>
      </c>
      <c r="GC3" s="189" t="s">
        <v>761</v>
      </c>
      <c r="GD3" s="189" t="s">
        <v>761</v>
      </c>
      <c r="GE3" s="189" t="s">
        <v>761</v>
      </c>
      <c r="GF3" s="189" t="s">
        <v>761</v>
      </c>
      <c r="GG3" s="189" t="s">
        <v>761</v>
      </c>
      <c r="GH3" s="189" t="s">
        <v>761</v>
      </c>
      <c r="GI3" s="189" t="s">
        <v>761</v>
      </c>
      <c r="GJ3" s="189" t="s">
        <v>448</v>
      </c>
      <c r="GK3" s="189" t="s">
        <v>761</v>
      </c>
      <c r="GL3" s="194" t="s">
        <v>748</v>
      </c>
      <c r="GM3" s="189" t="s">
        <v>761</v>
      </c>
      <c r="GN3" s="194" t="s">
        <v>748</v>
      </c>
      <c r="GO3" s="189" t="s">
        <v>761</v>
      </c>
      <c r="GP3" s="194" t="s">
        <v>748</v>
      </c>
      <c r="GQ3" s="194" t="s">
        <v>748</v>
      </c>
      <c r="GR3" s="189" t="s">
        <v>761</v>
      </c>
      <c r="GS3" s="188" t="s">
        <v>761</v>
      </c>
      <c r="GT3" s="188" t="s">
        <v>1152</v>
      </c>
      <c r="GU3" s="189" t="s">
        <v>761</v>
      </c>
      <c r="GV3" s="189" t="s">
        <v>761</v>
      </c>
      <c r="GW3" s="188" t="s">
        <v>761</v>
      </c>
      <c r="GX3" s="188" t="s">
        <v>761</v>
      </c>
      <c r="GY3" s="188" t="s">
        <v>761</v>
      </c>
      <c r="GZ3" s="188" t="s">
        <v>761</v>
      </c>
      <c r="HA3" s="188" t="s">
        <v>761</v>
      </c>
      <c r="HB3" s="189" t="s">
        <v>761</v>
      </c>
      <c r="HC3" s="189" t="s">
        <v>761</v>
      </c>
      <c r="HD3" s="189" t="s">
        <v>751</v>
      </c>
      <c r="HE3" s="189" t="s">
        <v>751</v>
      </c>
      <c r="HF3" s="189" t="s">
        <v>806</v>
      </c>
      <c r="HG3" s="189" t="s">
        <v>806</v>
      </c>
      <c r="HH3" s="189"/>
      <c r="HI3" s="189"/>
      <c r="HJ3" s="189"/>
      <c r="HK3" s="189" t="s">
        <v>806</v>
      </c>
      <c r="HL3" s="189" t="s">
        <v>806</v>
      </c>
      <c r="HN3" s="185" t="s">
        <v>764</v>
      </c>
      <c r="HO3" s="185" t="s">
        <v>764</v>
      </c>
      <c r="HP3" s="185" t="s">
        <v>764</v>
      </c>
      <c r="HQ3" s="185" t="s">
        <v>764</v>
      </c>
      <c r="HR3" s="185" t="s">
        <v>764</v>
      </c>
      <c r="HS3" s="185" t="s">
        <v>764</v>
      </c>
      <c r="HT3" s="185" t="s">
        <v>764</v>
      </c>
      <c r="HU3" s="185" t="s">
        <v>764</v>
      </c>
      <c r="HV3" s="185" t="s">
        <v>764</v>
      </c>
      <c r="HW3" s="185" t="s">
        <v>764</v>
      </c>
      <c r="HX3" s="185" t="s">
        <v>764</v>
      </c>
      <c r="HY3" s="185" t="s">
        <v>764</v>
      </c>
      <c r="HZ3" s="185" t="s">
        <v>764</v>
      </c>
      <c r="IA3" s="185" t="s">
        <v>764</v>
      </c>
      <c r="IB3" s="185" t="s">
        <v>764</v>
      </c>
      <c r="IC3" s="185" t="s">
        <v>764</v>
      </c>
      <c r="ID3" s="185" t="s">
        <v>764</v>
      </c>
      <c r="IE3" s="204" t="s">
        <v>748</v>
      </c>
      <c r="IF3" s="204" t="s">
        <v>748</v>
      </c>
    </row>
    <row r="4" spans="1:241" ht="28.8" x14ac:dyDescent="0.3">
      <c r="B4" s="185" t="s">
        <v>765</v>
      </c>
      <c r="C4" s="185"/>
      <c r="D4" s="185"/>
      <c r="E4" s="185"/>
      <c r="F4" s="185"/>
      <c r="G4" s="185"/>
      <c r="H4" s="186" t="s">
        <v>766</v>
      </c>
      <c r="I4" s="186"/>
      <c r="J4" s="186"/>
      <c r="K4" s="186"/>
      <c r="M4" s="188" t="s">
        <v>767</v>
      </c>
      <c r="N4" s="188"/>
      <c r="O4" s="188"/>
      <c r="P4" s="188"/>
      <c r="Q4" s="188"/>
      <c r="R4" s="188"/>
      <c r="S4" s="188"/>
      <c r="T4" s="188"/>
      <c r="U4" s="188"/>
      <c r="V4" s="188"/>
      <c r="W4" s="188"/>
      <c r="X4" s="189"/>
      <c r="Y4" s="189"/>
      <c r="Z4" s="190" t="s">
        <v>9</v>
      </c>
      <c r="AA4" s="190"/>
      <c r="AB4" s="190"/>
      <c r="AC4" s="190"/>
      <c r="AD4" s="190"/>
      <c r="AE4" s="184"/>
      <c r="AF4" s="184" t="s">
        <v>768</v>
      </c>
      <c r="AG4" s="184" t="s">
        <v>769</v>
      </c>
      <c r="AO4" s="188" t="s">
        <v>770</v>
      </c>
      <c r="AP4" s="188" t="s">
        <v>771</v>
      </c>
      <c r="AQ4" s="188" t="s">
        <v>771</v>
      </c>
      <c r="AR4" s="188" t="s">
        <v>772</v>
      </c>
      <c r="AS4" s="188" t="s">
        <v>773</v>
      </c>
      <c r="AT4" s="188"/>
      <c r="AU4" s="188"/>
      <c r="AV4" s="198" t="s">
        <v>774</v>
      </c>
      <c r="AW4" s="189"/>
      <c r="AX4" s="189"/>
      <c r="AY4" s="189"/>
      <c r="AZ4" s="202"/>
      <c r="BA4" s="189"/>
      <c r="BB4" s="189"/>
      <c r="BC4" s="189"/>
      <c r="BD4" s="189"/>
      <c r="BE4" s="205"/>
      <c r="BF4" s="189"/>
      <c r="BG4" s="189"/>
      <c r="BH4" s="189"/>
      <c r="BI4" s="189"/>
      <c r="BJ4" s="189"/>
      <c r="BK4" s="189"/>
      <c r="BL4" s="194"/>
      <c r="BM4" s="190"/>
      <c r="BN4" s="190"/>
      <c r="BO4" s="190"/>
      <c r="BP4" s="190"/>
      <c r="BQ4" s="190"/>
      <c r="BR4" s="190" t="s">
        <v>775</v>
      </c>
      <c r="BS4" s="189"/>
      <c r="BT4" s="189" t="s">
        <v>936</v>
      </c>
      <c r="BU4" s="168" t="s">
        <v>917</v>
      </c>
      <c r="BV4" s="189"/>
      <c r="BW4" s="189"/>
      <c r="BX4" s="189"/>
      <c r="BY4" s="190"/>
      <c r="BZ4" s="192"/>
      <c r="CA4" s="192"/>
      <c r="CB4" s="318"/>
      <c r="CC4" s="194"/>
      <c r="CD4" s="173"/>
      <c r="CE4" s="173"/>
      <c r="CF4" s="173"/>
      <c r="CG4" s="173"/>
      <c r="CH4" s="173"/>
      <c r="CI4" s="173"/>
      <c r="CJ4" s="173"/>
      <c r="CK4" s="173"/>
      <c r="CL4" s="173"/>
      <c r="CM4" s="173"/>
      <c r="CN4" s="173"/>
      <c r="CO4" s="173"/>
      <c r="CP4" s="174"/>
      <c r="CQ4" s="174"/>
      <c r="CR4" s="174"/>
      <c r="CS4" s="184"/>
      <c r="CZ4" s="199" t="s">
        <v>955</v>
      </c>
      <c r="DA4" s="206" t="s">
        <v>776</v>
      </c>
      <c r="DB4" s="185"/>
      <c r="DC4" s="185"/>
      <c r="DD4" s="207" t="s">
        <v>777</v>
      </c>
      <c r="DE4" s="207" t="s">
        <v>777</v>
      </c>
      <c r="DF4" s="207" t="s">
        <v>777</v>
      </c>
      <c r="DJ4" s="144" t="s">
        <v>778</v>
      </c>
      <c r="DK4" s="166"/>
      <c r="DL4" s="166"/>
      <c r="DM4" s="166"/>
      <c r="DN4" s="166"/>
      <c r="DO4" s="166"/>
      <c r="DP4" s="166"/>
      <c r="DQ4" s="166"/>
      <c r="DR4" s="166"/>
      <c r="DS4" s="166"/>
      <c r="DT4" s="166"/>
      <c r="DU4" s="166"/>
      <c r="DV4" s="166"/>
      <c r="DW4" s="166"/>
      <c r="DX4" s="166"/>
      <c r="DY4" s="166"/>
      <c r="DZ4" s="166"/>
      <c r="EA4" s="166"/>
      <c r="EB4" s="166"/>
      <c r="EC4" s="166"/>
      <c r="ED4" s="166"/>
      <c r="EE4" s="189"/>
      <c r="EF4" s="202"/>
      <c r="EG4" s="189"/>
      <c r="EH4" s="189"/>
      <c r="EI4" s="189"/>
      <c r="EJ4" s="189"/>
      <c r="EK4" s="189"/>
      <c r="EL4" s="189"/>
      <c r="EM4" s="189"/>
      <c r="EN4" s="189"/>
      <c r="EO4" s="202"/>
      <c r="EP4" s="202"/>
      <c r="EQ4" s="202"/>
      <c r="ER4" s="180"/>
      <c r="ES4" s="208" t="s">
        <v>779</v>
      </c>
      <c r="ET4" s="180"/>
      <c r="EU4" s="180"/>
      <c r="EV4" s="182"/>
      <c r="EW4" s="203"/>
      <c r="EX4" s="203"/>
      <c r="EY4" s="203"/>
      <c r="EZ4" s="203"/>
      <c r="FA4" s="188"/>
      <c r="FB4" s="188"/>
      <c r="FC4" s="188"/>
      <c r="FD4" s="188"/>
      <c r="FE4" s="188"/>
      <c r="FF4" s="188"/>
      <c r="FG4" s="188"/>
      <c r="FH4" s="188"/>
      <c r="FI4" s="188"/>
      <c r="FJ4" s="188"/>
      <c r="FK4" s="188" t="s">
        <v>780</v>
      </c>
      <c r="FL4" s="188"/>
      <c r="FM4" s="188"/>
      <c r="FN4" s="190"/>
      <c r="FO4" s="202"/>
      <c r="FP4" s="202"/>
      <c r="FQ4" s="202"/>
      <c r="FR4" s="202"/>
      <c r="FS4" s="202"/>
      <c r="FT4" s="189"/>
      <c r="FU4" s="189"/>
      <c r="FV4" s="189"/>
      <c r="FW4" s="168"/>
      <c r="FX4" s="168"/>
      <c r="FY4" s="168"/>
      <c r="FZ4" s="168"/>
      <c r="GA4" s="189"/>
      <c r="GB4" s="189" t="s">
        <v>781</v>
      </c>
      <c r="GC4" s="189"/>
      <c r="GD4" s="189"/>
      <c r="GE4" s="189"/>
      <c r="GF4" s="189"/>
      <c r="GG4" s="189"/>
      <c r="GH4" s="189"/>
      <c r="GI4" s="189"/>
      <c r="GJ4" s="189"/>
      <c r="GK4" s="189"/>
      <c r="GL4" s="189"/>
      <c r="GM4" s="189"/>
      <c r="GN4" s="189"/>
      <c r="GO4" s="189"/>
      <c r="GP4" s="189"/>
      <c r="GQ4" s="189"/>
      <c r="GR4" s="189"/>
      <c r="GS4" s="188"/>
      <c r="GT4" s="188"/>
      <c r="GU4" s="189"/>
      <c r="GV4" s="189"/>
      <c r="GW4" s="188"/>
      <c r="GX4" s="188"/>
      <c r="GY4" s="188"/>
      <c r="GZ4" s="188"/>
      <c r="HA4" s="188"/>
      <c r="HB4" s="189"/>
      <c r="HC4" s="189"/>
      <c r="HD4" s="189" t="s">
        <v>1161</v>
      </c>
      <c r="HE4" s="189"/>
      <c r="HF4" s="189"/>
      <c r="HG4" s="189"/>
      <c r="HH4" s="189"/>
      <c r="HI4" s="189"/>
      <c r="HJ4" s="189"/>
      <c r="HK4" s="189"/>
      <c r="HL4" s="189"/>
      <c r="IE4" s="188"/>
      <c r="IF4" s="188" t="s">
        <v>771</v>
      </c>
    </row>
    <row r="5" spans="1:241" x14ac:dyDescent="0.3">
      <c r="B5" s="185" t="s">
        <v>782</v>
      </c>
      <c r="C5" s="185"/>
      <c r="D5" s="185"/>
      <c r="E5" s="185"/>
      <c r="F5" s="185"/>
      <c r="G5" s="185"/>
      <c r="H5" s="186"/>
      <c r="I5" s="186"/>
      <c r="J5" s="186"/>
      <c r="K5" s="186"/>
      <c r="M5" s="188" t="s">
        <v>783</v>
      </c>
      <c r="N5" s="188"/>
      <c r="O5" s="188"/>
      <c r="P5" s="188"/>
      <c r="Q5" s="188"/>
      <c r="R5" s="188"/>
      <c r="S5" s="188"/>
      <c r="T5" s="188"/>
      <c r="U5" s="188"/>
      <c r="V5" s="188"/>
      <c r="W5" s="188"/>
      <c r="X5" s="189"/>
      <c r="Y5" s="189"/>
      <c r="Z5" s="190" t="s">
        <v>10</v>
      </c>
      <c r="AA5" s="190"/>
      <c r="AB5" s="190"/>
      <c r="AC5" s="190"/>
      <c r="AD5" s="190"/>
      <c r="AE5" s="184"/>
      <c r="AF5" s="184">
        <f>AVERAGE(AF55:AF74)</f>
        <v>3.4384526871027341</v>
      </c>
      <c r="AO5" s="188">
        <f>AVERAGE(AO68:AO74)</f>
        <v>1.2058248482503406</v>
      </c>
      <c r="AP5" s="188">
        <f>MAX(AP49:AP72)</f>
        <v>1.3370856480726312</v>
      </c>
      <c r="AQ5" s="188">
        <f>MAX(AQ47:AQ74)</f>
        <v>4.974933578166094E-3</v>
      </c>
      <c r="AR5" s="188">
        <f>AVERAGE(AR60:AR74)</f>
        <v>23.600261187209231</v>
      </c>
      <c r="AS5" s="188">
        <f>AVERAGE(AS60:AS74)</f>
        <v>5.2987751730291883</v>
      </c>
      <c r="AT5" s="188"/>
      <c r="AU5" s="188"/>
      <c r="AV5" s="198">
        <f>SUM(AV75:AV156)</f>
        <v>645</v>
      </c>
      <c r="AW5" s="189"/>
      <c r="AX5" s="189"/>
      <c r="AY5" s="189"/>
      <c r="AZ5" s="202"/>
      <c r="BA5" s="189"/>
      <c r="BB5" s="189"/>
      <c r="BC5" s="189"/>
      <c r="BD5" s="189"/>
      <c r="BE5" s="205"/>
      <c r="BF5" s="189"/>
      <c r="BG5" s="189"/>
      <c r="BH5" s="189"/>
      <c r="BI5" s="189"/>
      <c r="BJ5" s="189"/>
      <c r="BK5" s="189"/>
      <c r="BL5" s="189"/>
      <c r="BM5" s="190"/>
      <c r="BN5" s="190"/>
      <c r="BO5" s="190"/>
      <c r="BP5" s="190"/>
      <c r="BQ5" s="190"/>
      <c r="BR5" s="190">
        <f>SUM(BR6:BR156)</f>
        <v>2053</v>
      </c>
      <c r="BS5" s="189"/>
      <c r="BT5" s="205">
        <f>SUM(BT75:BT156)</f>
        <v>0</v>
      </c>
      <c r="BU5" s="186" t="str">
        <f ca="1">IF(SUM(BU75:BU156)=0,texts!A300,SUM(BU75:BU156))</f>
        <v>no DACCS</v>
      </c>
      <c r="BV5" s="189"/>
      <c r="BW5" s="189"/>
      <c r="BX5" s="189"/>
      <c r="BY5" s="190"/>
      <c r="BZ5" s="192"/>
      <c r="CA5" s="192"/>
      <c r="CB5" s="192"/>
      <c r="CC5" s="189"/>
      <c r="CD5" s="173"/>
      <c r="CE5" s="173"/>
      <c r="CF5" s="173"/>
      <c r="CG5" s="173"/>
      <c r="CH5" s="173"/>
      <c r="CI5" s="173"/>
      <c r="CJ5" s="173"/>
      <c r="CK5" s="173"/>
      <c r="CL5" s="173"/>
      <c r="CM5" s="173"/>
      <c r="CN5" s="173"/>
      <c r="CO5" s="173"/>
      <c r="CP5" s="174"/>
      <c r="CQ5" s="174"/>
      <c r="CR5" s="174"/>
      <c r="CS5" s="184"/>
      <c r="CZ5" s="199">
        <f ca="1">MAX(CZ6:CZ156)</f>
        <v>1.8880950601468962</v>
      </c>
      <c r="DA5" s="185"/>
      <c r="DB5" s="185"/>
      <c r="DC5" s="185"/>
      <c r="DD5" s="209">
        <f>AVERAGE(DD66:DD73)</f>
        <v>4.7030815811456173E-3</v>
      </c>
      <c r="DE5" s="209">
        <f>AVERAGE(DE66:DE73)</f>
        <v>-2.3857071511314476E-3</v>
      </c>
      <c r="DF5" s="209">
        <f>AVERAGE(DF66:DF73)</f>
        <v>-6.23675259631024E-4</v>
      </c>
      <c r="DJ5" s="144" t="s">
        <v>784</v>
      </c>
      <c r="DK5" s="166"/>
      <c r="DL5" s="166"/>
      <c r="DM5" s="166"/>
      <c r="DN5" s="166"/>
      <c r="DO5" s="166"/>
      <c r="DP5" s="166"/>
      <c r="DQ5" s="166"/>
      <c r="DR5" s="166"/>
      <c r="DS5" s="166"/>
      <c r="DT5" s="166"/>
      <c r="DU5" s="166"/>
      <c r="DV5" s="166"/>
      <c r="DW5" s="166"/>
      <c r="DX5" s="166"/>
      <c r="DY5" s="166"/>
      <c r="DZ5" s="166"/>
      <c r="EA5" s="166"/>
      <c r="EB5" s="166"/>
      <c r="EC5" s="166"/>
      <c r="ED5" s="166"/>
      <c r="EE5" s="189"/>
      <c r="EF5" s="202"/>
      <c r="EG5" s="189"/>
      <c r="EH5" s="189"/>
      <c r="EI5" s="189"/>
      <c r="EJ5" s="189"/>
      <c r="EK5" s="189"/>
      <c r="EL5" s="189"/>
      <c r="EM5" s="189"/>
      <c r="EN5" s="189"/>
      <c r="EO5" s="202"/>
      <c r="EP5" s="202"/>
      <c r="EQ5" s="202"/>
      <c r="ER5" s="180"/>
      <c r="ES5" s="208">
        <f>AVERAGE(ES18:ES69)</f>
        <v>9.9755893914427372</v>
      </c>
      <c r="ET5" s="180"/>
      <c r="EU5" s="180"/>
      <c r="EV5" s="182"/>
      <c r="EW5" s="208"/>
      <c r="EX5" s="208"/>
      <c r="EY5" s="208"/>
      <c r="EZ5" s="203"/>
      <c r="FA5" s="188"/>
      <c r="FB5" s="188"/>
      <c r="FC5" s="188"/>
      <c r="FD5" s="188"/>
      <c r="FE5" s="188"/>
      <c r="FF5" s="188"/>
      <c r="FG5" s="188"/>
      <c r="FH5" s="188"/>
      <c r="FI5" s="188"/>
      <c r="FJ5" s="188"/>
      <c r="FK5" s="188">
        <f>AVERAGE(FK17:FK69)</f>
        <v>4.5616870531049965E-2</v>
      </c>
      <c r="FL5" s="188"/>
      <c r="FM5" s="188"/>
      <c r="FN5" s="190"/>
      <c r="FO5" s="202"/>
      <c r="FP5" s="202"/>
      <c r="FQ5" s="202"/>
      <c r="FR5" s="202"/>
      <c r="FS5" s="202"/>
      <c r="FT5" s="189"/>
      <c r="FU5" s="189"/>
      <c r="FV5" s="189"/>
      <c r="FW5" s="168"/>
      <c r="FX5" s="168"/>
      <c r="FY5" s="168"/>
      <c r="FZ5" s="168"/>
      <c r="GA5" s="189"/>
      <c r="GB5" s="210">
        <f>DG69*DS69/DJ69-FV69</f>
        <v>1388118193687.0225</v>
      </c>
      <c r="GC5" s="189"/>
      <c r="GD5" s="189"/>
      <c r="GE5" s="189"/>
      <c r="GF5" s="189"/>
      <c r="GG5" s="189"/>
      <c r="GH5" s="189"/>
      <c r="GI5" s="189"/>
      <c r="GJ5" s="189"/>
      <c r="GK5" s="189"/>
      <c r="GL5" s="189"/>
      <c r="GM5" s="189"/>
      <c r="GN5" s="189"/>
      <c r="GO5" s="189"/>
      <c r="GP5" s="189"/>
      <c r="GQ5" s="210">
        <f>MAX(GQ70:GQ156)</f>
        <v>0</v>
      </c>
      <c r="GR5" s="189"/>
      <c r="GS5" s="188"/>
      <c r="GT5" s="188"/>
      <c r="GU5" s="189"/>
      <c r="GV5" s="189"/>
      <c r="GW5" s="188"/>
      <c r="GX5" s="188"/>
      <c r="GY5" s="188"/>
      <c r="GZ5" s="188"/>
      <c r="HA5" s="188"/>
      <c r="HB5" s="189"/>
      <c r="HC5" s="189"/>
      <c r="HD5" s="205">
        <f>HD156-HD69</f>
        <v>-1713.6309764442256</v>
      </c>
      <c r="HE5" s="205">
        <f t="shared" ref="HE5:HG5" si="0">HE156-HE69</f>
        <v>628.22457194081926</v>
      </c>
      <c r="HF5" s="205">
        <f t="shared" si="0"/>
        <v>585.85180688001174</v>
      </c>
      <c r="HG5" s="205">
        <f t="shared" si="0"/>
        <v>1151.2448721556611</v>
      </c>
      <c r="HH5" s="205"/>
      <c r="HI5" s="205"/>
      <c r="HJ5" s="205"/>
      <c r="HK5" s="205"/>
      <c r="HL5" s="205"/>
      <c r="HW5" s="208"/>
      <c r="IE5" s="188">
        <f>MAX(IE70:IE156,0)</f>
        <v>0</v>
      </c>
      <c r="IF5" s="188">
        <f>MAX(IF70:IF156,0)</f>
        <v>0</v>
      </c>
      <c r="IG5" s="184">
        <f>MAX(IF106:IF156)</f>
        <v>-4.6997583340749411E-16</v>
      </c>
    </row>
    <row r="6" spans="1:241" x14ac:dyDescent="0.3">
      <c r="A6" s="211">
        <v>1950</v>
      </c>
      <c r="B6" s="207">
        <v>2536431.0180000002</v>
      </c>
      <c r="C6" s="207">
        <v>712754.18900000013</v>
      </c>
      <c r="D6" s="207">
        <f t="shared" ref="D6:D69" si="1">B6-C6</f>
        <v>1823676.8289999999</v>
      </c>
      <c r="H6" s="207">
        <f>1000*B6</f>
        <v>2536431018</v>
      </c>
      <c r="L6" s="187">
        <f>H6</f>
        <v>2536431018</v>
      </c>
      <c r="AQ6" s="322">
        <v>9.9999999999999998E-13</v>
      </c>
      <c r="BR6" s="212" t="str">
        <f t="shared" ref="BR6:BR20" si="2">IF(BQ6&gt;0&amp;BQ7=0,A6,"")</f>
        <v/>
      </c>
      <c r="CD6" s="173">
        <f t="shared" ref="CD6:CD37" si="3">A6</f>
        <v>1950</v>
      </c>
      <c r="CE6" s="173">
        <v>0</v>
      </c>
      <c r="CF6" s="173"/>
      <c r="CG6" s="173"/>
      <c r="CH6" s="173"/>
      <c r="CI6" s="173"/>
      <c r="CJ6" s="173"/>
      <c r="CK6" s="173"/>
      <c r="CL6" s="173"/>
      <c r="CM6" s="173"/>
      <c r="CN6" s="173"/>
      <c r="CO6" s="173"/>
      <c r="CP6" s="174"/>
      <c r="CQ6" s="174"/>
      <c r="CR6" s="174"/>
      <c r="CX6" s="198">
        <v>539.83283529089488</v>
      </c>
      <c r="CY6" s="198">
        <v>0</v>
      </c>
      <c r="CZ6" s="199">
        <f>IF(CX6&lt;intermediates!$B$55,intermediates!$B$56+(CX6-intermediates!$B$55)*intermediates!$B$53,intermediates!$B$56+(data!CX6-intermediates!$B$55)*intermediates!$B$58)</f>
        <v>0.26265268872154635</v>
      </c>
      <c r="DD6" s="213"/>
      <c r="DE6" s="213"/>
      <c r="DF6" s="213"/>
      <c r="FO6" s="218"/>
      <c r="FP6" s="218"/>
      <c r="FQ6" s="218"/>
      <c r="FR6" s="218"/>
      <c r="FS6" s="218"/>
      <c r="HM6" s="188">
        <f t="shared" ref="HM6:HM37" si="4">A6</f>
        <v>1950</v>
      </c>
    </row>
    <row r="7" spans="1:241" x14ac:dyDescent="0.3">
      <c r="A7" s="184">
        <v>1951</v>
      </c>
      <c r="B7" s="207">
        <v>2584034.227</v>
      </c>
      <c r="C7" s="207">
        <v>721431.63899999997</v>
      </c>
      <c r="D7" s="207">
        <f t="shared" si="1"/>
        <v>1862602.588</v>
      </c>
      <c r="H7" s="207">
        <f t="shared" ref="H7:H70" si="5">1000*B7</f>
        <v>2584034227</v>
      </c>
      <c r="L7" s="187">
        <f t="shared" ref="L7:L70" si="6">H7</f>
        <v>2584034227</v>
      </c>
      <c r="AQ7" s="322">
        <v>9.9999999999999998E-13</v>
      </c>
      <c r="BR7" s="212" t="str">
        <f t="shared" si="2"/>
        <v/>
      </c>
      <c r="CD7" s="173">
        <f t="shared" si="3"/>
        <v>1951</v>
      </c>
      <c r="CE7" s="173">
        <v>0</v>
      </c>
      <c r="CF7" s="173"/>
      <c r="CG7" s="173"/>
      <c r="CH7" s="173"/>
      <c r="CI7" s="173"/>
      <c r="CJ7" s="173"/>
      <c r="CK7" s="173"/>
      <c r="CL7" s="173"/>
      <c r="CM7" s="173"/>
      <c r="CN7" s="173"/>
      <c r="CO7" s="173"/>
      <c r="CP7" s="174"/>
      <c r="CQ7" s="174"/>
      <c r="CR7" s="174"/>
      <c r="CX7" s="198">
        <v>552.16314768527468</v>
      </c>
      <c r="CY7" s="198">
        <v>0</v>
      </c>
      <c r="CZ7" s="199">
        <f>IF(CX7&lt;intermediates!$B$55,intermediates!$B$56+(CX7-intermediates!$B$55)*intermediates!$B$53,intermediates!$B$56+(data!CX7-intermediates!$B$55)*intermediates!$B$58)</f>
        <v>0.26935790887423705</v>
      </c>
      <c r="DD7" s="219"/>
      <c r="DE7" s="213"/>
      <c r="DF7" s="213"/>
      <c r="FO7" s="218"/>
      <c r="FP7" s="218"/>
      <c r="FQ7" s="218"/>
      <c r="FR7" s="218"/>
      <c r="FS7" s="218"/>
      <c r="GB7" s="214"/>
      <c r="HM7" s="188">
        <f t="shared" si="4"/>
        <v>1951</v>
      </c>
    </row>
    <row r="8" spans="1:241" x14ac:dyDescent="0.3">
      <c r="A8" s="211">
        <v>1952</v>
      </c>
      <c r="B8" s="207">
        <v>2630861.69</v>
      </c>
      <c r="C8" s="207">
        <v>730657.77200000011</v>
      </c>
      <c r="D8" s="207">
        <f t="shared" si="1"/>
        <v>1900203.9179999998</v>
      </c>
      <c r="H8" s="207">
        <f t="shared" si="5"/>
        <v>2630861690</v>
      </c>
      <c r="L8" s="187">
        <f t="shared" si="6"/>
        <v>2630861690</v>
      </c>
      <c r="AQ8" s="322">
        <v>9.9999999999999998E-13</v>
      </c>
      <c r="BR8" s="212" t="str">
        <f t="shared" si="2"/>
        <v/>
      </c>
      <c r="CD8" s="173">
        <f t="shared" si="3"/>
        <v>1952</v>
      </c>
      <c r="CE8" s="173">
        <v>0</v>
      </c>
      <c r="CF8" s="173"/>
      <c r="CG8" s="173"/>
      <c r="CH8" s="173"/>
      <c r="CI8" s="173"/>
      <c r="CJ8" s="173"/>
      <c r="CK8" s="173"/>
      <c r="CL8" s="173"/>
      <c r="CM8" s="173"/>
      <c r="CN8" s="173"/>
      <c r="CO8" s="173"/>
      <c r="CP8" s="174"/>
      <c r="CQ8" s="174"/>
      <c r="CR8" s="174"/>
      <c r="CX8" s="198">
        <v>564.66602861070805</v>
      </c>
      <c r="CY8" s="198">
        <v>0</v>
      </c>
      <c r="CZ8" s="199">
        <f>IF(CX8&lt;intermediates!$B$55,intermediates!$B$56+(CX8-intermediates!$B$55)*intermediates!$B$53,intermediates!$B$56+(data!CX8-intermediates!$B$55)*intermediates!$B$58)</f>
        <v>0.2761569717419482</v>
      </c>
      <c r="DE8" s="209"/>
      <c r="DF8" s="209"/>
      <c r="FO8" s="218"/>
      <c r="FP8" s="218"/>
      <c r="FQ8" s="218"/>
      <c r="FR8" s="218"/>
      <c r="FS8" s="218"/>
      <c r="HM8" s="188">
        <f t="shared" si="4"/>
        <v>1952</v>
      </c>
    </row>
    <row r="9" spans="1:241" x14ac:dyDescent="0.3">
      <c r="A9" s="184">
        <v>1953</v>
      </c>
      <c r="B9" s="207">
        <v>2677609.0610000002</v>
      </c>
      <c r="C9" s="207">
        <v>740301.83600000013</v>
      </c>
      <c r="D9" s="207">
        <f t="shared" si="1"/>
        <v>1937307.2250000001</v>
      </c>
      <c r="H9" s="207">
        <f t="shared" si="5"/>
        <v>2677609061</v>
      </c>
      <c r="L9" s="187">
        <f t="shared" si="6"/>
        <v>2677609061</v>
      </c>
      <c r="AQ9" s="322">
        <v>9.9999999999999998E-13</v>
      </c>
      <c r="BR9" s="212" t="str">
        <f t="shared" si="2"/>
        <v/>
      </c>
      <c r="CD9" s="173">
        <f t="shared" si="3"/>
        <v>1953</v>
      </c>
      <c r="CE9" s="173">
        <v>0</v>
      </c>
      <c r="CF9" s="173"/>
      <c r="CG9" s="173"/>
      <c r="CH9" s="173"/>
      <c r="CI9" s="173"/>
      <c r="CJ9" s="173"/>
      <c r="CK9" s="173"/>
      <c r="CL9" s="173"/>
      <c r="CM9" s="173"/>
      <c r="CN9" s="173"/>
      <c r="CO9" s="173"/>
      <c r="CP9" s="174"/>
      <c r="CQ9" s="174"/>
      <c r="CR9" s="174"/>
      <c r="CX9" s="198">
        <v>577.43772114688659</v>
      </c>
      <c r="CY9" s="198">
        <v>0</v>
      </c>
      <c r="CZ9" s="199">
        <f>IF(CX9&lt;intermediates!$B$55,intermediates!$B$56+(CX9-intermediates!$B$55)*intermediates!$B$53,intermediates!$B$56+(data!CX9-intermediates!$B$55)*intermediates!$B$58)</f>
        <v>0.28310221428232263</v>
      </c>
      <c r="DE9" s="209"/>
      <c r="DF9" s="209"/>
      <c r="FO9" s="218"/>
      <c r="FP9" s="218"/>
      <c r="FQ9" s="218"/>
      <c r="FR9" s="218"/>
      <c r="FS9" s="218"/>
      <c r="HM9" s="188">
        <f t="shared" si="4"/>
        <v>1953</v>
      </c>
    </row>
    <row r="10" spans="1:241" x14ac:dyDescent="0.3">
      <c r="A10" s="211">
        <v>1954</v>
      </c>
      <c r="B10" s="207">
        <v>2724846.7540000002</v>
      </c>
      <c r="C10" s="207">
        <v>750258.11600000015</v>
      </c>
      <c r="D10" s="207">
        <f t="shared" si="1"/>
        <v>1974588.638</v>
      </c>
      <c r="H10" s="207">
        <f t="shared" si="5"/>
        <v>2724846754</v>
      </c>
      <c r="L10" s="187">
        <f t="shared" si="6"/>
        <v>2724846754</v>
      </c>
      <c r="AQ10" s="322">
        <v>9.9999999999999998E-13</v>
      </c>
      <c r="BR10" s="212" t="str">
        <f t="shared" si="2"/>
        <v/>
      </c>
      <c r="CD10" s="173">
        <f t="shared" si="3"/>
        <v>1954</v>
      </c>
      <c r="CE10" s="173">
        <v>0</v>
      </c>
      <c r="CF10" s="173"/>
      <c r="CG10" s="173"/>
      <c r="CH10" s="173"/>
      <c r="CI10" s="173"/>
      <c r="CJ10" s="173"/>
      <c r="CK10" s="173"/>
      <c r="CL10" s="173"/>
      <c r="CM10" s="173"/>
      <c r="CN10" s="173"/>
      <c r="CO10" s="173"/>
      <c r="CP10" s="174"/>
      <c r="CQ10" s="174"/>
      <c r="CR10" s="174"/>
      <c r="CX10" s="198">
        <v>590.40346367112329</v>
      </c>
      <c r="CY10" s="198">
        <v>0</v>
      </c>
      <c r="CZ10" s="199">
        <f>IF(CX10&lt;intermediates!$B$55,intermediates!$B$56+(CX10-intermediates!$B$55)*intermediates!$B$53,intermediates!$B$56+(data!CX10-intermediates!$B$55)*intermediates!$B$58)</f>
        <v>0.29015298114754295</v>
      </c>
      <c r="DE10" s="209"/>
      <c r="DF10" s="209"/>
      <c r="FO10" s="218"/>
      <c r="FP10" s="218"/>
      <c r="FQ10" s="218"/>
      <c r="FR10" s="218"/>
      <c r="FS10" s="218"/>
      <c r="HM10" s="188">
        <f t="shared" si="4"/>
        <v>1954</v>
      </c>
    </row>
    <row r="11" spans="1:241" x14ac:dyDescent="0.3">
      <c r="A11" s="184">
        <v>1955</v>
      </c>
      <c r="B11" s="207">
        <v>2773019.915</v>
      </c>
      <c r="C11" s="207">
        <v>760445.97600000002</v>
      </c>
      <c r="D11" s="207">
        <f t="shared" si="1"/>
        <v>2012573.939</v>
      </c>
      <c r="H11" s="207">
        <f t="shared" si="5"/>
        <v>2773019915</v>
      </c>
      <c r="L11" s="187">
        <f t="shared" si="6"/>
        <v>2773019915</v>
      </c>
      <c r="AQ11" s="322">
        <v>9.9999999999999998E-13</v>
      </c>
      <c r="BR11" s="212" t="str">
        <f t="shared" si="2"/>
        <v/>
      </c>
      <c r="CD11" s="173">
        <f t="shared" si="3"/>
        <v>1955</v>
      </c>
      <c r="CE11" s="173">
        <v>0</v>
      </c>
      <c r="CF11" s="173"/>
      <c r="CG11" s="173"/>
      <c r="CH11" s="173"/>
      <c r="CI11" s="173"/>
      <c r="CJ11" s="173"/>
      <c r="CK11" s="173"/>
      <c r="CL11" s="173"/>
      <c r="CM11" s="173"/>
      <c r="CN11" s="173"/>
      <c r="CO11" s="173"/>
      <c r="CP11" s="174"/>
      <c r="CQ11" s="174"/>
      <c r="CR11" s="174"/>
      <c r="CX11" s="198">
        <v>604.10768088963584</v>
      </c>
      <c r="CY11" s="198">
        <v>0</v>
      </c>
      <c r="CZ11" s="199">
        <f>IF(CX11&lt;intermediates!$B$55,intermediates!$B$56+(CX11-intermediates!$B$55)*intermediates!$B$53,intermediates!$B$56+(data!CX11-intermediates!$B$55)*intermediates!$B$58)</f>
        <v>0.29760533032827452</v>
      </c>
      <c r="DE11" s="209"/>
      <c r="DF11" s="209"/>
      <c r="FO11" s="218"/>
      <c r="FP11" s="218"/>
      <c r="FQ11" s="218"/>
      <c r="FR11" s="218"/>
      <c r="FS11" s="218"/>
      <c r="HM11" s="188">
        <f t="shared" si="4"/>
        <v>1955</v>
      </c>
    </row>
    <row r="12" spans="1:241" x14ac:dyDescent="0.3">
      <c r="A12" s="211">
        <v>1956</v>
      </c>
      <c r="B12" s="207">
        <v>2822443.2540000002</v>
      </c>
      <c r="C12" s="207">
        <v>770811.1869999998</v>
      </c>
      <c r="D12" s="207">
        <f t="shared" si="1"/>
        <v>2051632.0670000003</v>
      </c>
      <c r="H12" s="207">
        <f t="shared" si="5"/>
        <v>2822443254</v>
      </c>
      <c r="L12" s="187">
        <f t="shared" si="6"/>
        <v>2822443254</v>
      </c>
      <c r="AQ12" s="322">
        <v>9.9999999999999998E-13</v>
      </c>
      <c r="BR12" s="212" t="str">
        <f t="shared" si="2"/>
        <v/>
      </c>
      <c r="CD12" s="173">
        <f t="shared" si="3"/>
        <v>1956</v>
      </c>
      <c r="CE12" s="173">
        <v>0</v>
      </c>
      <c r="CF12" s="173"/>
      <c r="CG12" s="173"/>
      <c r="CH12" s="173"/>
      <c r="CI12" s="173"/>
      <c r="CJ12" s="173"/>
      <c r="CK12" s="173"/>
      <c r="CL12" s="173"/>
      <c r="CM12" s="173"/>
      <c r="CN12" s="173"/>
      <c r="CO12" s="173"/>
      <c r="CP12" s="174"/>
      <c r="CQ12" s="174"/>
      <c r="CR12" s="174"/>
      <c r="CX12" s="198">
        <v>618.42382752634705</v>
      </c>
      <c r="CY12" s="198">
        <v>0</v>
      </c>
      <c r="CZ12" s="199">
        <f>IF(CX12&lt;intermediates!$B$55,intermediates!$B$56+(CX12-intermediates!$B$55)*intermediates!$B$53,intermediates!$B$56+(data!CX12-intermediates!$B$55)*intermediates!$B$58)</f>
        <v>0.30539044654164005</v>
      </c>
      <c r="DE12" s="209"/>
      <c r="DF12" s="209"/>
      <c r="FO12" s="218"/>
      <c r="FP12" s="218"/>
      <c r="FQ12" s="218"/>
      <c r="FR12" s="218"/>
      <c r="FS12" s="218"/>
      <c r="HM12" s="188">
        <f t="shared" si="4"/>
        <v>1956</v>
      </c>
    </row>
    <row r="13" spans="1:241" x14ac:dyDescent="0.3">
      <c r="A13" s="184">
        <v>1957</v>
      </c>
      <c r="B13" s="207">
        <v>2873306.0580000002</v>
      </c>
      <c r="C13" s="207">
        <v>781324.41700000013</v>
      </c>
      <c r="D13" s="207">
        <f t="shared" si="1"/>
        <v>2091981.6410000001</v>
      </c>
      <c r="H13" s="207">
        <f t="shared" si="5"/>
        <v>2873306058</v>
      </c>
      <c r="L13" s="187">
        <f t="shared" si="6"/>
        <v>2873306058</v>
      </c>
      <c r="AQ13" s="322">
        <v>9.9999999999999998E-13</v>
      </c>
      <c r="BR13" s="212" t="str">
        <f t="shared" si="2"/>
        <v/>
      </c>
      <c r="CD13" s="173">
        <f t="shared" si="3"/>
        <v>1957</v>
      </c>
      <c r="CE13" s="173">
        <v>0</v>
      </c>
      <c r="CF13" s="173"/>
      <c r="CG13" s="173"/>
      <c r="CH13" s="173"/>
      <c r="CI13" s="173"/>
      <c r="CJ13" s="173"/>
      <c r="CK13" s="173"/>
      <c r="CL13" s="173"/>
      <c r="CM13" s="173"/>
      <c r="CN13" s="173"/>
      <c r="CO13" s="173"/>
      <c r="CP13" s="174"/>
      <c r="CQ13" s="174"/>
      <c r="CR13" s="174"/>
      <c r="CX13" s="198">
        <v>633.17957188719436</v>
      </c>
      <c r="CY13" s="198">
        <v>0</v>
      </c>
      <c r="CZ13" s="199">
        <f>IF(CX13&lt;intermediates!$B$55,intermediates!$B$56+(CX13-intermediates!$B$55)*intermediates!$B$53,intermediates!$B$56+(data!CX13-intermediates!$B$55)*intermediates!$B$58)</f>
        <v>0.31341461586450348</v>
      </c>
      <c r="DE13" s="209"/>
      <c r="DF13" s="209"/>
      <c r="FO13" s="218"/>
      <c r="FP13" s="218"/>
      <c r="FQ13" s="218"/>
      <c r="FR13" s="218"/>
      <c r="FS13" s="218"/>
      <c r="HM13" s="188">
        <f t="shared" si="4"/>
        <v>1957</v>
      </c>
    </row>
    <row r="14" spans="1:241" x14ac:dyDescent="0.3">
      <c r="A14" s="211">
        <v>1958</v>
      </c>
      <c r="B14" s="207">
        <v>2925686.68</v>
      </c>
      <c r="C14" s="207">
        <v>791978.12900000007</v>
      </c>
      <c r="D14" s="207">
        <f t="shared" si="1"/>
        <v>2133708.551</v>
      </c>
      <c r="H14" s="207">
        <f t="shared" si="5"/>
        <v>2925686680</v>
      </c>
      <c r="L14" s="187">
        <f t="shared" si="6"/>
        <v>2925686680</v>
      </c>
      <c r="AQ14" s="322">
        <v>9.9999999999999998E-13</v>
      </c>
      <c r="BR14" s="212" t="str">
        <f t="shared" si="2"/>
        <v/>
      </c>
      <c r="CD14" s="173">
        <f t="shared" si="3"/>
        <v>1958</v>
      </c>
      <c r="CE14" s="173">
        <v>0</v>
      </c>
      <c r="CF14" s="173"/>
      <c r="CG14" s="173"/>
      <c r="CH14" s="173"/>
      <c r="CI14" s="173"/>
      <c r="CJ14" s="173"/>
      <c r="CK14" s="173"/>
      <c r="CL14" s="173"/>
      <c r="CM14" s="173"/>
      <c r="CN14" s="173"/>
      <c r="CO14" s="173"/>
      <c r="CP14" s="174"/>
      <c r="CQ14" s="174"/>
      <c r="CR14" s="174"/>
      <c r="CX14" s="198">
        <v>648.2669478195661</v>
      </c>
      <c r="CY14" s="198">
        <v>0</v>
      </c>
      <c r="CZ14" s="199">
        <f>IF(CX14&lt;intermediates!$B$55,intermediates!$B$56+(CX14-intermediates!$B$55)*intermediates!$B$53,intermediates!$B$56+(data!CX14-intermediates!$B$55)*intermediates!$B$58)</f>
        <v>0.32161912633571177</v>
      </c>
      <c r="DE14" s="209"/>
      <c r="DF14" s="209"/>
      <c r="FO14" s="218"/>
      <c r="FP14" s="218"/>
      <c r="FQ14" s="218"/>
      <c r="FR14" s="218"/>
      <c r="FS14" s="218"/>
      <c r="HM14" s="188">
        <f t="shared" si="4"/>
        <v>1958</v>
      </c>
    </row>
    <row r="15" spans="1:241" x14ac:dyDescent="0.3">
      <c r="A15" s="184">
        <v>1959</v>
      </c>
      <c r="B15" s="207">
        <v>2979576.1469999999</v>
      </c>
      <c r="C15" s="207">
        <v>802780.48</v>
      </c>
      <c r="D15" s="207">
        <f t="shared" si="1"/>
        <v>2176795.6669999999</v>
      </c>
      <c r="H15" s="207">
        <f t="shared" si="5"/>
        <v>2979576147</v>
      </c>
      <c r="L15" s="187">
        <f t="shared" si="6"/>
        <v>2979576147</v>
      </c>
      <c r="Z15" s="184">
        <v>2.4172400738251114</v>
      </c>
      <c r="AA15" s="184">
        <v>1.8103646677017209</v>
      </c>
      <c r="AB15" s="184">
        <f>Z15*conversions!$C$6/conversions!$C$8</f>
        <v>8.8573301846722643</v>
      </c>
      <c r="AC15" s="184">
        <f>AA15*conversions!$C$6/conversions!$C$8</f>
        <v>6.6335974610599493</v>
      </c>
      <c r="AD15" s="184">
        <f>AB15+AC15</f>
        <v>15.490927645732214</v>
      </c>
      <c r="AQ15" s="322">
        <v>9.9999999999999998E-13</v>
      </c>
      <c r="BR15" s="212" t="str">
        <f t="shared" si="2"/>
        <v/>
      </c>
      <c r="CD15" s="173">
        <f t="shared" si="3"/>
        <v>1959</v>
      </c>
      <c r="CE15" s="173">
        <v>0</v>
      </c>
      <c r="CF15" s="173"/>
      <c r="CG15" s="173"/>
      <c r="CH15" s="173"/>
      <c r="CI15" s="173"/>
      <c r="CJ15" s="173"/>
      <c r="CK15" s="173"/>
      <c r="CL15" s="173"/>
      <c r="CM15" s="173"/>
      <c r="CN15" s="173"/>
      <c r="CO15" s="173"/>
      <c r="CP15" s="174"/>
      <c r="CQ15" s="174"/>
      <c r="CR15" s="174"/>
      <c r="CX15" s="198">
        <v>663.7578754652983</v>
      </c>
      <c r="CY15" s="198">
        <v>0</v>
      </c>
      <c r="CZ15" s="199">
        <f>IF(CX15&lt;intermediates!$B$55,intermediates!$B$56+(CX15-intermediates!$B$55)*intermediates!$B$53,intermediates!$B$56+(data!CX15-intermediates!$B$55)*intermediates!$B$58)</f>
        <v>0.33004308810665428</v>
      </c>
      <c r="DE15" s="209"/>
      <c r="DF15" s="209"/>
      <c r="FO15" s="218"/>
      <c r="FP15" s="218"/>
      <c r="FQ15" s="218"/>
      <c r="FR15" s="218"/>
      <c r="FS15" s="218"/>
      <c r="HM15" s="188">
        <f t="shared" si="4"/>
        <v>1959</v>
      </c>
    </row>
    <row r="16" spans="1:241" x14ac:dyDescent="0.3">
      <c r="A16" s="211">
        <v>1960</v>
      </c>
      <c r="B16" s="207">
        <v>3034949.7149999999</v>
      </c>
      <c r="C16" s="207">
        <v>813738.08500000008</v>
      </c>
      <c r="D16" s="207">
        <f t="shared" si="1"/>
        <v>2221211.63</v>
      </c>
      <c r="H16" s="207">
        <f t="shared" si="5"/>
        <v>3034949715</v>
      </c>
      <c r="L16" s="187">
        <f t="shared" si="6"/>
        <v>3034949715</v>
      </c>
      <c r="Z16" s="184">
        <v>2.5502242462290896</v>
      </c>
      <c r="AA16" s="184">
        <v>1.6522492790985104</v>
      </c>
      <c r="AB16" s="184">
        <f>Z16*conversions!$C$6/conversions!$C$8</f>
        <v>9.3446151412109391</v>
      </c>
      <c r="AC16" s="184">
        <f>AA16*conversions!$C$6/conversions!$C$8</f>
        <v>6.0542258796844015</v>
      </c>
      <c r="AD16" s="184">
        <f t="shared" ref="AD16:AD74" si="7">AB16+AC16</f>
        <v>15.39884102089534</v>
      </c>
      <c r="AQ16" s="322">
        <v>9.9999999999999998E-13</v>
      </c>
      <c r="BR16" s="212" t="str">
        <f t="shared" si="2"/>
        <v/>
      </c>
      <c r="CD16" s="173">
        <f t="shared" si="3"/>
        <v>1960</v>
      </c>
      <c r="CE16" s="173">
        <v>0</v>
      </c>
      <c r="CF16" s="173"/>
      <c r="CG16" s="173"/>
      <c r="CH16" s="173"/>
      <c r="CI16" s="173"/>
      <c r="CJ16" s="173"/>
      <c r="CK16" s="173"/>
      <c r="CL16" s="173"/>
      <c r="CM16" s="173"/>
      <c r="CN16" s="173"/>
      <c r="CO16" s="173"/>
      <c r="CP16" s="174"/>
      <c r="CQ16" s="174"/>
      <c r="CR16" s="174"/>
      <c r="CX16" s="198">
        <v>679.15671648619355</v>
      </c>
      <c r="CY16" s="198">
        <v>0</v>
      </c>
      <c r="CZ16" s="199">
        <f>IF(CX16&lt;intermediates!$B$55,intermediates!$B$56+(CX16-intermediates!$B$55)*intermediates!$B$53,intermediates!$B$56+(data!CX16-intermediates!$B$55)*intermediates!$B$58)</f>
        <v>0.33841697319884778</v>
      </c>
      <c r="DE16" s="209"/>
      <c r="DF16" s="209"/>
      <c r="FN16" s="218"/>
      <c r="FO16" s="218"/>
      <c r="FP16" s="218"/>
      <c r="FQ16" s="218"/>
      <c r="FR16" s="218"/>
      <c r="FS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188">
        <f t="shared" si="4"/>
        <v>1960</v>
      </c>
    </row>
    <row r="17" spans="1:221" x14ac:dyDescent="0.3">
      <c r="A17" s="184">
        <v>1961</v>
      </c>
      <c r="B17" s="207">
        <v>3091843.5129999998</v>
      </c>
      <c r="C17" s="207">
        <v>824837.57500000007</v>
      </c>
      <c r="D17" s="207">
        <f t="shared" si="1"/>
        <v>2267005.9379999996</v>
      </c>
      <c r="H17" s="207">
        <f t="shared" si="5"/>
        <v>3091843513</v>
      </c>
      <c r="L17" s="187">
        <f t="shared" si="6"/>
        <v>3091843513</v>
      </c>
      <c r="Z17" s="184">
        <v>2.5561831848758785</v>
      </c>
      <c r="AA17" s="184">
        <v>1.5746800705947877</v>
      </c>
      <c r="AB17" s="184">
        <f>Z17*conversions!$C$6/conversions!$C$8</f>
        <v>9.3664500792116545</v>
      </c>
      <c r="AC17" s="184">
        <f>AA17*conversions!$C$6/conversions!$C$8</f>
        <v>5.7699942473691452</v>
      </c>
      <c r="AD17" s="184">
        <f t="shared" si="7"/>
        <v>15.136444326580801</v>
      </c>
      <c r="AQ17" s="322">
        <v>9.9999999999999998E-13</v>
      </c>
      <c r="BR17" s="212" t="str">
        <f t="shared" si="2"/>
        <v/>
      </c>
      <c r="CD17" s="173">
        <f t="shared" si="3"/>
        <v>1961</v>
      </c>
      <c r="CE17" s="173">
        <v>0</v>
      </c>
      <c r="CF17" s="173"/>
      <c r="CG17" s="173"/>
      <c r="CH17" s="173"/>
      <c r="CI17" s="173"/>
      <c r="CJ17" s="173"/>
      <c r="CK17" s="173"/>
      <c r="CL17" s="173"/>
      <c r="CM17" s="173"/>
      <c r="CN17" s="173"/>
      <c r="CO17" s="173"/>
      <c r="CP17" s="174"/>
      <c r="CQ17" s="174"/>
      <c r="CR17" s="174"/>
      <c r="CX17" s="198">
        <v>694.29316081277432</v>
      </c>
      <c r="CY17" s="198">
        <v>0</v>
      </c>
      <c r="CZ17" s="199">
        <f>IF(CX17&lt;intermediates!$B$55,intermediates!$B$56+(CX17-intermediates!$B$55)*intermediates!$B$53,intermediates!$B$56+(data!CX17-intermediates!$B$55)*intermediates!$B$58)</f>
        <v>0.34664816704799384</v>
      </c>
      <c r="DA17" s="220">
        <v>1351226.3432</v>
      </c>
      <c r="DB17" s="220">
        <v>3118067.9712999999</v>
      </c>
      <c r="DE17" s="209"/>
      <c r="DF17" s="209"/>
      <c r="DG17" s="201">
        <f t="shared" ref="DG17:DI48" si="8">DA17*10000000</f>
        <v>13512263432000</v>
      </c>
      <c r="DH17" s="201">
        <f t="shared" si="8"/>
        <v>31180679713000</v>
      </c>
      <c r="DJ17" s="220">
        <v>3608056936945380</v>
      </c>
      <c r="DK17" s="220">
        <v>504525222012584</v>
      </c>
      <c r="DL17" s="220">
        <v>4112582158957960</v>
      </c>
      <c r="DM17" s="220">
        <v>922159069940692</v>
      </c>
      <c r="DN17" s="220">
        <v>67843127411845</v>
      </c>
      <c r="DO17" s="220">
        <v>990002197352537</v>
      </c>
      <c r="DP17" s="220">
        <v>2085552582994770</v>
      </c>
      <c r="DQ17" s="220">
        <v>391702724839281</v>
      </c>
      <c r="DR17" s="220">
        <v>2477255307834050</v>
      </c>
      <c r="DS17" s="220">
        <v>99670225822853.797</v>
      </c>
      <c r="DT17" s="220">
        <v>39492538647991.102</v>
      </c>
      <c r="DU17" s="220">
        <v>139162764470845</v>
      </c>
      <c r="DV17" s="220">
        <v>516607690959259</v>
      </c>
      <c r="DW17" s="220">
        <v>1183920608893.03</v>
      </c>
      <c r="DX17" s="220">
        <v>517791611568152</v>
      </c>
      <c r="DY17" s="220">
        <v>244755511547072</v>
      </c>
      <c r="DZ17" s="220">
        <v>1025962421100.33</v>
      </c>
      <c r="EA17" s="220">
        <v>245781473968172</v>
      </c>
      <c r="EB17" s="220">
        <v>159917861830750</v>
      </c>
      <c r="EC17" s="220">
        <v>5557450022801.0898</v>
      </c>
      <c r="ED17" s="220">
        <v>165475311853551</v>
      </c>
      <c r="EE17" s="212">
        <f t="shared" ref="EE17:EE48" si="9">DR17/(L17*365)</f>
        <v>2195.1307738714004</v>
      </c>
      <c r="EG17" s="212">
        <f t="shared" ref="EG17:EG69" si="10">DQ17/DR17</f>
        <v>0.1581196429776793</v>
      </c>
      <c r="EI17" s="212">
        <f>EG17</f>
        <v>0.1581196429776793</v>
      </c>
      <c r="EJ17" s="212">
        <v>0.323292469352014</v>
      </c>
      <c r="EK17" s="212">
        <v>3.674911660777385E-2</v>
      </c>
      <c r="EL17" s="212">
        <v>5.5721393034825872E-2</v>
      </c>
      <c r="EM17" s="212">
        <v>0.35069444444444442</v>
      </c>
      <c r="EN17" s="212">
        <f t="shared" ref="EN17:EN48" si="11">DP17/(365*L17)</f>
        <v>1848.0374796175386</v>
      </c>
      <c r="EP17" s="212">
        <f t="shared" ref="EP17:EP48" si="12">DQ17/(365*L17)</f>
        <v>347.09329425386267</v>
      </c>
      <c r="ER17" s="215">
        <f t="shared" ref="ER17:ER69" si="13">DJ17/DG17</f>
        <v>267.02091437920836</v>
      </c>
      <c r="EU17" s="215">
        <f t="shared" ref="EU17:EU69" si="14">ER17</f>
        <v>267.02091437920836</v>
      </c>
      <c r="EV17" s="216">
        <f>data!EU17*conversions!$C$13</f>
        <v>0.31054532342301933</v>
      </c>
      <c r="EW17" s="217">
        <f t="shared" ref="EW17:EW69" si="15">DH17/DK17</f>
        <v>6.1802023670131372E-2</v>
      </c>
      <c r="EX17" s="217"/>
      <c r="EZ17" s="217">
        <f>EW17</f>
        <v>6.1802023670131372E-2</v>
      </c>
      <c r="FA17" s="212">
        <f t="shared" ref="FA17:FA69" si="16">DM17/DK17</f>
        <v>1.8277759559019455</v>
      </c>
      <c r="FD17" s="212">
        <f>FA17</f>
        <v>1.8277759559019455</v>
      </c>
      <c r="FE17" s="184">
        <f t="shared" ref="FE17:FE69" si="17">DQ17/DK17</f>
        <v>0.77637887611793377</v>
      </c>
      <c r="FG17" s="184">
        <f>FE17</f>
        <v>0.77637887611793377</v>
      </c>
      <c r="FH17" s="184">
        <f t="shared" ref="FH17:FH69" si="18">DY17/DJ17</f>
        <v>6.7835822944159158E-2</v>
      </c>
      <c r="FJ17" s="184">
        <f>FH17</f>
        <v>6.7835822944159158E-2</v>
      </c>
      <c r="FK17" s="184">
        <f t="shared" ref="FK17:FK69" si="19">EB17/DJ17</f>
        <v>4.4322432995233772E-2</v>
      </c>
      <c r="FM17" s="184">
        <f>FK17</f>
        <v>4.4322432995233772E-2</v>
      </c>
      <c r="FN17" s="218"/>
      <c r="FO17" s="218">
        <f t="shared" ref="FO17:FO48" si="20">(EP17+EQ17)*L17*365</f>
        <v>391702724839281</v>
      </c>
      <c r="FP17" s="218">
        <f t="shared" ref="FP17:FP80" si="21">FO17/FG17</f>
        <v>504525222012584</v>
      </c>
      <c r="FQ17" s="218">
        <f t="shared" ref="FQ17:FQ80" si="22">FP17*EZ17</f>
        <v>31180679713000</v>
      </c>
      <c r="FR17" s="218">
        <f t="shared" ref="FR17:FR80" si="23">FP17*FD17</f>
        <v>922159069940692</v>
      </c>
      <c r="FS17" s="218">
        <f t="shared" ref="FS17:FS80" si="24">FR17/(EU17)</f>
        <v>3453508771343.2534</v>
      </c>
      <c r="FT17" s="218">
        <f>intermediates!$B$69*data!EU17/intermediates!$B$71</f>
        <v>0.67965735492790702</v>
      </c>
      <c r="FU17" s="218">
        <f>(Y17+W17)*conversions!$C$1*1000000</f>
        <v>0</v>
      </c>
      <c r="FV17" s="218">
        <f>FU17/FT17</f>
        <v>0</v>
      </c>
      <c r="FW17" s="221">
        <f t="shared" ref="FW17:FW69" si="25">$DG$69*DS17/$DJ$69</f>
        <v>126846996620.69374</v>
      </c>
      <c r="FX17" s="221">
        <f t="shared" ref="FX17:FX69" si="26">FW17-FV17</f>
        <v>126846996620.69374</v>
      </c>
      <c r="FY17" s="221">
        <f>FX17*intermediates!$B$72*1000*ER17/(intermediates!$B$71*10000*1000000000)</f>
        <v>6.8969995363015908</v>
      </c>
      <c r="FZ17" s="221">
        <f t="shared" ref="FZ17:FZ48" si="27">1000000000*FY17/L17</f>
        <v>2.2307078308790174</v>
      </c>
      <c r="GA17" s="218"/>
      <c r="GB17" s="218"/>
      <c r="GC17" s="218">
        <f t="shared" ref="GC17:GC48" si="28">(EN17+EO17)*L17*365/EU17</f>
        <v>7810446563121.9561</v>
      </c>
      <c r="GD17" s="218">
        <f t="shared" ref="GD17:GD68" si="29">FV17+FX17+GC17+FS17</f>
        <v>11390802331085.902</v>
      </c>
      <c r="GE17" s="218">
        <f t="shared" ref="GE17:GE80" si="30">GD17/(1-(FK17+FL17+FJ17))</f>
        <v>12829766574152.352</v>
      </c>
      <c r="GF17" s="218">
        <f t="shared" ref="GF17:GF80" si="31">FJ17*GE17</f>
        <v>870317773739.09033</v>
      </c>
      <c r="GG17" s="218">
        <f t="shared" ref="GG17:GG69" si="32">GE17*FM17</f>
        <v>568646469327.35754</v>
      </c>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188">
        <f t="shared" si="4"/>
        <v>1961</v>
      </c>
    </row>
    <row r="18" spans="1:221" x14ac:dyDescent="0.3">
      <c r="A18" s="211">
        <v>1962</v>
      </c>
      <c r="B18" s="207">
        <v>3150420.7609999999</v>
      </c>
      <c r="C18" s="207">
        <v>836029.0900000002</v>
      </c>
      <c r="D18" s="207">
        <f t="shared" si="1"/>
        <v>2314391.6709999996</v>
      </c>
      <c r="H18" s="207">
        <f t="shared" si="5"/>
        <v>3150420761</v>
      </c>
      <c r="L18" s="187">
        <f t="shared" si="6"/>
        <v>3150420761</v>
      </c>
      <c r="Z18" s="184">
        <v>2.6468975061055171</v>
      </c>
      <c r="AA18" s="184">
        <v>1.5265188908233644</v>
      </c>
      <c r="AB18" s="184">
        <f>Z18*conversions!$C$6/conversions!$C$8</f>
        <v>9.6988484637617969</v>
      </c>
      <c r="AC18" s="184">
        <f>AA18*conversions!$C$6/conversions!$C$8</f>
        <v>5.5935204763366215</v>
      </c>
      <c r="AD18" s="184">
        <f t="shared" si="7"/>
        <v>15.292368940098418</v>
      </c>
      <c r="AQ18" s="322">
        <v>9.9999999999999998E-13</v>
      </c>
      <c r="BR18" s="212" t="str">
        <f t="shared" si="2"/>
        <v/>
      </c>
      <c r="CD18" s="173">
        <f t="shared" si="3"/>
        <v>1962</v>
      </c>
      <c r="CE18" s="173">
        <v>0</v>
      </c>
      <c r="CF18" s="173"/>
      <c r="CG18" s="173"/>
      <c r="CH18" s="173"/>
      <c r="CI18" s="173"/>
      <c r="CJ18" s="173"/>
      <c r="CK18" s="173"/>
      <c r="CL18" s="173"/>
      <c r="CM18" s="173"/>
      <c r="CN18" s="173"/>
      <c r="CO18" s="173"/>
      <c r="CP18" s="174"/>
      <c r="CQ18" s="174"/>
      <c r="CR18" s="174"/>
      <c r="CX18" s="198">
        <v>709.58552975287273</v>
      </c>
      <c r="CY18" s="198">
        <v>0</v>
      </c>
      <c r="CZ18" s="199">
        <f>IF(CX18&lt;intermediates!$B$55,intermediates!$B$56+(CX18-intermediates!$B$55)*intermediates!$B$53,intermediates!$B$56+(data!CX18-intermediates!$B$55)*intermediates!$B$58)</f>
        <v>0.35496415265483594</v>
      </c>
      <c r="DA18" s="220">
        <v>1354684.216</v>
      </c>
      <c r="DB18" s="220">
        <v>3124412.3854999999</v>
      </c>
      <c r="DD18" s="209">
        <f t="shared" ref="DD18:DD72" si="33">(DA18-DA17)/$DA$73</f>
        <v>2.2146873782071357E-3</v>
      </c>
      <c r="DE18" s="209">
        <f t="shared" ref="DE18:DE72" si="34">(DB18-DB17)/$DB$73</f>
        <v>1.9423125919071245E-3</v>
      </c>
      <c r="DF18" s="209"/>
      <c r="DG18" s="201">
        <f t="shared" si="8"/>
        <v>13546842160000</v>
      </c>
      <c r="DH18" s="201">
        <f t="shared" si="8"/>
        <v>31244123855000</v>
      </c>
      <c r="DJ18" s="220">
        <v>3789044514670650</v>
      </c>
      <c r="DK18" s="220">
        <v>520417489645663</v>
      </c>
      <c r="DL18" s="220">
        <v>4309462004316310</v>
      </c>
      <c r="DM18" s="220">
        <v>973708130772800</v>
      </c>
      <c r="DN18" s="220">
        <v>71123450828660.406</v>
      </c>
      <c r="DO18" s="220">
        <v>1044831581601460</v>
      </c>
      <c r="DP18" s="220">
        <v>2172419028883450</v>
      </c>
      <c r="DQ18" s="220">
        <v>403760394003772</v>
      </c>
      <c r="DR18" s="220">
        <v>2576179422887220</v>
      </c>
      <c r="DS18" s="220">
        <v>98026765546098.297</v>
      </c>
      <c r="DT18" s="220">
        <v>41765072635171</v>
      </c>
      <c r="DU18" s="220">
        <v>139791838181269</v>
      </c>
      <c r="DV18" s="220">
        <v>525914668984517</v>
      </c>
      <c r="DW18" s="220">
        <v>1162244622099.1599</v>
      </c>
      <c r="DX18" s="220">
        <v>527076913606617</v>
      </c>
      <c r="DY18" s="220">
        <v>251303215977154</v>
      </c>
      <c r="DZ18" s="220">
        <v>1026338927402.35</v>
      </c>
      <c r="EA18" s="220">
        <v>252329554904556</v>
      </c>
      <c r="EB18" s="220">
        <v>169627504197867</v>
      </c>
      <c r="EC18" s="220">
        <v>5709463702695.29</v>
      </c>
      <c r="ED18" s="220">
        <v>175336967900563</v>
      </c>
      <c r="EE18" s="212">
        <f t="shared" si="9"/>
        <v>2240.3438624779205</v>
      </c>
      <c r="EG18" s="212">
        <f t="shared" si="10"/>
        <v>0.15672836698278675</v>
      </c>
      <c r="EI18" s="212">
        <f t="shared" ref="EI18:EI69" si="35">EG18</f>
        <v>0.15672836698278675</v>
      </c>
      <c r="EJ18" s="212">
        <v>0.31972555746140652</v>
      </c>
      <c r="EK18" s="212">
        <v>3.9973787680209698E-2</v>
      </c>
      <c r="EL18" s="212">
        <v>5.4093567251461985E-2</v>
      </c>
      <c r="EM18" s="212">
        <v>0.35094471658502452</v>
      </c>
      <c r="EN18" s="212">
        <f t="shared" si="11"/>
        <v>1889.2184274318488</v>
      </c>
      <c r="EP18" s="212">
        <f t="shared" si="12"/>
        <v>351.12543504607345</v>
      </c>
      <c r="ER18" s="215">
        <f t="shared" si="13"/>
        <v>279.69946574402621</v>
      </c>
      <c r="ES18" s="209">
        <f>ER18-ER17</f>
        <v>12.678551364817849</v>
      </c>
      <c r="EU18" s="215">
        <f t="shared" si="14"/>
        <v>279.69946574402621</v>
      </c>
      <c r="EV18" s="216">
        <f>data!EU18*conversions!$C$13</f>
        <v>0.32529047866030247</v>
      </c>
      <c r="EW18" s="217">
        <f t="shared" si="15"/>
        <v>6.003665225831132E-2</v>
      </c>
      <c r="EX18" s="217"/>
      <c r="EZ18" s="217">
        <f t="shared" ref="EZ18:EZ69" si="36">EW18</f>
        <v>6.003665225831132E-2</v>
      </c>
      <c r="FA18" s="212">
        <f t="shared" si="16"/>
        <v>1.8710134654309356</v>
      </c>
      <c r="FD18" s="212">
        <f t="shared" ref="FD18:FD69" si="37">FA18</f>
        <v>1.8710134654309356</v>
      </c>
      <c r="FE18" s="184">
        <f t="shared" si="17"/>
        <v>0.77583940208981184</v>
      </c>
      <c r="FG18" s="184">
        <f t="shared" ref="FG18:FG69" si="38">FE18</f>
        <v>0.77583940208981184</v>
      </c>
      <c r="FH18" s="184">
        <f t="shared" si="18"/>
        <v>6.6323637794209897E-2</v>
      </c>
      <c r="FJ18" s="184">
        <f t="shared" ref="FJ18:FJ69" si="39">FH18</f>
        <v>6.6323637794209897E-2</v>
      </c>
      <c r="FK18" s="184">
        <f t="shared" si="19"/>
        <v>4.476788370817314E-2</v>
      </c>
      <c r="FM18" s="184">
        <f t="shared" ref="FM18:FM69" si="40">FK18</f>
        <v>4.476788370817314E-2</v>
      </c>
      <c r="FN18" s="218"/>
      <c r="FO18" s="218">
        <f t="shared" si="20"/>
        <v>403760394003772</v>
      </c>
      <c r="FP18" s="218">
        <f t="shared" si="21"/>
        <v>520417489645663</v>
      </c>
      <c r="FQ18" s="218">
        <f t="shared" si="22"/>
        <v>31244123855000</v>
      </c>
      <c r="FR18" s="218">
        <f t="shared" si="23"/>
        <v>973708130772800</v>
      </c>
      <c r="FS18" s="218">
        <f t="shared" si="24"/>
        <v>3481265608365.2041</v>
      </c>
      <c r="FT18" s="218">
        <f>intermediates!$B$69*data!EU18/intermediates!$B$71</f>
        <v>0.71192850007383457</v>
      </c>
      <c r="FU18" s="218">
        <f>(Y18+W18)*conversions!$C$1*1000000</f>
        <v>0</v>
      </c>
      <c r="FV18" s="218">
        <f t="shared" ref="FV18:FV81" si="41">FU18/FT18</f>
        <v>0</v>
      </c>
      <c r="FW18" s="221">
        <f t="shared" si="25"/>
        <v>124755419136.53749</v>
      </c>
      <c r="FX18" s="221">
        <f t="shared" si="26"/>
        <v>124755419136.53749</v>
      </c>
      <c r="FY18" s="221">
        <f>FX18*intermediates!$B$72*1000*ER18/(intermediates!$B$71*10000*1000000000)</f>
        <v>7.1053550737566162</v>
      </c>
      <c r="FZ18" s="221">
        <f t="shared" si="27"/>
        <v>2.255367016912766</v>
      </c>
      <c r="GA18" s="218"/>
      <c r="GB18" s="218"/>
      <c r="GC18" s="218">
        <f t="shared" si="28"/>
        <v>7766975968669.1436</v>
      </c>
      <c r="GD18" s="218">
        <f t="shared" si="29"/>
        <v>11372996996170.885</v>
      </c>
      <c r="GE18" s="218">
        <f t="shared" si="30"/>
        <v>12794339655070.996</v>
      </c>
      <c r="GF18" s="218">
        <f t="shared" si="31"/>
        <v>848567149099.02515</v>
      </c>
      <c r="GG18" s="218">
        <f t="shared" si="32"/>
        <v>572775509801.08643</v>
      </c>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188">
        <f t="shared" si="4"/>
        <v>1962</v>
      </c>
    </row>
    <row r="19" spans="1:221" x14ac:dyDescent="0.3">
      <c r="A19" s="184">
        <v>1963</v>
      </c>
      <c r="B19" s="207">
        <v>3211000.946</v>
      </c>
      <c r="C19" s="207">
        <v>847219.61499999987</v>
      </c>
      <c r="D19" s="207">
        <f t="shared" si="1"/>
        <v>2363781.3310000002</v>
      </c>
      <c r="H19" s="207">
        <f t="shared" si="5"/>
        <v>3211000946</v>
      </c>
      <c r="L19" s="187">
        <f t="shared" si="6"/>
        <v>3211000946</v>
      </c>
      <c r="Z19" s="184">
        <v>2.7968058995296752</v>
      </c>
      <c r="AA19" s="184">
        <v>1.4676559116210939</v>
      </c>
      <c r="AB19" s="184">
        <f>Z19*conversions!$C$6/conversions!$C$8</f>
        <v>10.248147704821617</v>
      </c>
      <c r="AC19" s="184">
        <f>AA19*conversions!$C$6/conversions!$C$8</f>
        <v>5.3778328216044313</v>
      </c>
      <c r="AD19" s="184">
        <f t="shared" si="7"/>
        <v>15.625980526426048</v>
      </c>
      <c r="AQ19" s="322">
        <v>9.9999999999999998E-13</v>
      </c>
      <c r="BR19" s="212" t="str">
        <f t="shared" si="2"/>
        <v/>
      </c>
      <c r="CD19" s="173">
        <f t="shared" si="3"/>
        <v>1963</v>
      </c>
      <c r="CE19" s="173">
        <v>0</v>
      </c>
      <c r="CF19" s="173"/>
      <c r="CG19" s="173"/>
      <c r="CH19" s="173"/>
      <c r="CI19" s="173"/>
      <c r="CJ19" s="173"/>
      <c r="CK19" s="173"/>
      <c r="CL19" s="173"/>
      <c r="CM19" s="173"/>
      <c r="CN19" s="173"/>
      <c r="CO19" s="173"/>
      <c r="CP19" s="174"/>
      <c r="CQ19" s="174"/>
      <c r="CR19" s="174"/>
      <c r="CX19" s="198">
        <v>725.21151027929875</v>
      </c>
      <c r="CY19" s="198">
        <v>0</v>
      </c>
      <c r="CZ19" s="199">
        <f>IF(CX19&lt;intermediates!$B$55,intermediates!$B$56+(CX19-intermediates!$B$55)*intermediates!$B$53,intermediates!$B$56+(data!CX19-intermediates!$B$55)*intermediates!$B$58)</f>
        <v>0.36346155614147413</v>
      </c>
      <c r="DA19" s="220">
        <v>1362204.4325999999</v>
      </c>
      <c r="DB19" s="220">
        <v>3126864.3456000001</v>
      </c>
      <c r="DD19" s="209">
        <f t="shared" si="33"/>
        <v>4.8165244208530633E-3</v>
      </c>
      <c r="DE19" s="209">
        <f t="shared" si="34"/>
        <v>7.5065606168720118E-4</v>
      </c>
      <c r="DF19" s="209"/>
      <c r="DG19" s="201">
        <f t="shared" si="8"/>
        <v>13622044326000</v>
      </c>
      <c r="DH19" s="201">
        <f t="shared" si="8"/>
        <v>31268643456000</v>
      </c>
      <c r="DJ19" s="220">
        <v>3861557482446390</v>
      </c>
      <c r="DK19" s="220">
        <v>531369951402211</v>
      </c>
      <c r="DL19" s="220">
        <v>4392927433848600</v>
      </c>
      <c r="DM19" s="220">
        <v>1010960693906280</v>
      </c>
      <c r="DN19" s="220">
        <v>69372342104795.703</v>
      </c>
      <c r="DO19" s="220">
        <v>1080333036011070</v>
      </c>
      <c r="DP19" s="220">
        <v>2218341184505650</v>
      </c>
      <c r="DQ19" s="220">
        <v>419107614758948</v>
      </c>
      <c r="DR19" s="220">
        <v>2637448799264600</v>
      </c>
      <c r="DS19" s="220">
        <v>109147554441165</v>
      </c>
      <c r="DT19" s="220">
        <v>43481366369851.703</v>
      </c>
      <c r="DU19" s="220">
        <v>152628920811017</v>
      </c>
      <c r="DV19" s="220">
        <v>555143082058281</v>
      </c>
      <c r="DW19" s="220">
        <v>1050751144535.22</v>
      </c>
      <c r="DX19" s="220">
        <v>556193833202816</v>
      </c>
      <c r="DY19" s="220">
        <v>256508369581076</v>
      </c>
      <c r="DZ19" s="220">
        <v>1080108678545.67</v>
      </c>
      <c r="EA19" s="220">
        <v>257588478259621</v>
      </c>
      <c r="EB19" s="220">
        <v>172913784951903</v>
      </c>
      <c r="EC19" s="220">
        <v>5530813315919.0498</v>
      </c>
      <c r="ED19" s="220">
        <v>178444598267822</v>
      </c>
      <c r="EE19" s="212">
        <f t="shared" si="9"/>
        <v>2250.3534700836171</v>
      </c>
      <c r="EG19" s="212">
        <f t="shared" si="10"/>
        <v>0.15890644583349176</v>
      </c>
      <c r="EI19" s="212">
        <f t="shared" si="35"/>
        <v>0.15890644583349176</v>
      </c>
      <c r="EJ19" s="212">
        <v>0.32424974129010004</v>
      </c>
      <c r="EK19" s="212">
        <v>5.3952321204516936E-2</v>
      </c>
      <c r="EL19" s="212">
        <v>5.5245818550430814E-2</v>
      </c>
      <c r="EM19" s="212">
        <v>0.35104895104895106</v>
      </c>
      <c r="EN19" s="212">
        <f t="shared" si="11"/>
        <v>1892.7577982835628</v>
      </c>
      <c r="EP19" s="212">
        <f t="shared" si="12"/>
        <v>357.59567180005246</v>
      </c>
      <c r="ER19" s="215">
        <f t="shared" si="13"/>
        <v>283.47855799264636</v>
      </c>
      <c r="ES19" s="209">
        <f t="shared" ref="ES19:ES69" si="42">ER19-ER18</f>
        <v>3.7790922486201453</v>
      </c>
      <c r="EU19" s="215">
        <f t="shared" si="14"/>
        <v>283.47855799264636</v>
      </c>
      <c r="EV19" s="216">
        <f>data!EU19*conversions!$C$13</f>
        <v>0.32968556294544771</v>
      </c>
      <c r="EW19" s="217">
        <f t="shared" si="15"/>
        <v>5.8845336236056298E-2</v>
      </c>
      <c r="EX19" s="217"/>
      <c r="EZ19" s="217">
        <f t="shared" si="36"/>
        <v>5.8845336236056298E-2</v>
      </c>
      <c r="FA19" s="212">
        <f t="shared" si="16"/>
        <v>1.9025552559727852</v>
      </c>
      <c r="FD19" s="212">
        <f t="shared" si="37"/>
        <v>1.9025552559727852</v>
      </c>
      <c r="FE19" s="184">
        <f t="shared" si="17"/>
        <v>0.78873036319231382</v>
      </c>
      <c r="FG19" s="184">
        <f t="shared" si="38"/>
        <v>0.78873036319231382</v>
      </c>
      <c r="FH19" s="184">
        <f t="shared" si="18"/>
        <v>6.6426143012785543E-2</v>
      </c>
      <c r="FJ19" s="184">
        <f t="shared" si="39"/>
        <v>6.6426143012785543E-2</v>
      </c>
      <c r="FK19" s="184">
        <f t="shared" si="19"/>
        <v>4.4778249640960395E-2</v>
      </c>
      <c r="FM19" s="184">
        <f t="shared" si="40"/>
        <v>4.4778249640960395E-2</v>
      </c>
      <c r="FN19" s="218"/>
      <c r="FO19" s="218">
        <f t="shared" si="20"/>
        <v>419107614758947.94</v>
      </c>
      <c r="FP19" s="218">
        <f t="shared" si="21"/>
        <v>531369951402210.88</v>
      </c>
      <c r="FQ19" s="218">
        <f t="shared" si="22"/>
        <v>31268643455999.992</v>
      </c>
      <c r="FR19" s="218">
        <f t="shared" si="23"/>
        <v>1010960693906279.8</v>
      </c>
      <c r="FS19" s="218">
        <f t="shared" si="24"/>
        <v>3566268648553.3232</v>
      </c>
      <c r="FT19" s="218">
        <f>intermediates!$B$69*data!EU19/intermediates!$B$71</f>
        <v>0.72154755125451508</v>
      </c>
      <c r="FU19" s="218">
        <f>(Y19+W19)*conversions!$C$1*1000000</f>
        <v>0</v>
      </c>
      <c r="FV19" s="218">
        <f t="shared" si="41"/>
        <v>0</v>
      </c>
      <c r="FW19" s="221">
        <f t="shared" si="25"/>
        <v>138908478987.12051</v>
      </c>
      <c r="FX19" s="221">
        <f t="shared" si="26"/>
        <v>138908478987.12051</v>
      </c>
      <c r="FY19" s="221">
        <f>FX19*intermediates!$B$72*1000*ER19/(intermediates!$B$71*10000*1000000000)</f>
        <v>8.018325828931685</v>
      </c>
      <c r="FZ19" s="221">
        <f t="shared" si="27"/>
        <v>2.4971421571582701</v>
      </c>
      <c r="GA19" s="218"/>
      <c r="GB19" s="218"/>
      <c r="GC19" s="218">
        <f t="shared" si="28"/>
        <v>7825428491713.9854</v>
      </c>
      <c r="GD19" s="218">
        <f t="shared" si="29"/>
        <v>11530605619254.43</v>
      </c>
      <c r="GE19" s="218">
        <f t="shared" si="30"/>
        <v>12973292761518.313</v>
      </c>
      <c r="GF19" s="218">
        <f t="shared" si="31"/>
        <v>861765800323.35095</v>
      </c>
      <c r="GG19" s="218">
        <f t="shared" si="32"/>
        <v>580921341940.53149</v>
      </c>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188">
        <f t="shared" si="4"/>
        <v>1963</v>
      </c>
    </row>
    <row r="20" spans="1:221" x14ac:dyDescent="0.3">
      <c r="A20" s="211">
        <v>1964</v>
      </c>
      <c r="B20" s="207">
        <v>3273978.2719999999</v>
      </c>
      <c r="C20" s="207">
        <v>858292.47300000011</v>
      </c>
      <c r="D20" s="207">
        <f t="shared" si="1"/>
        <v>2415685.7989999996</v>
      </c>
      <c r="H20" s="207">
        <f t="shared" si="5"/>
        <v>3273978272</v>
      </c>
      <c r="L20" s="187">
        <f t="shared" si="6"/>
        <v>3273978272</v>
      </c>
      <c r="Z20" s="184">
        <v>2.9423055079237974</v>
      </c>
      <c r="AA20" s="184">
        <v>1.4144130096282961</v>
      </c>
      <c r="AB20" s="184">
        <f>Z20*conversions!$C$6/conversions!$C$8</f>
        <v>10.781292131493279</v>
      </c>
      <c r="AC20" s="184">
        <f>AA20*conversions!$C$6/conversions!$C$8</f>
        <v>5.1827384377048222</v>
      </c>
      <c r="AD20" s="184">
        <f t="shared" si="7"/>
        <v>15.964030569198101</v>
      </c>
      <c r="AQ20" s="322">
        <v>9.9999999999999998E-13</v>
      </c>
      <c r="BR20" s="212" t="str">
        <f t="shared" si="2"/>
        <v/>
      </c>
      <c r="CD20" s="173">
        <f t="shared" si="3"/>
        <v>1964</v>
      </c>
      <c r="CE20" s="173">
        <v>0</v>
      </c>
      <c r="CF20" s="173"/>
      <c r="CG20" s="173"/>
      <c r="CH20" s="173"/>
      <c r="CI20" s="173"/>
      <c r="CJ20" s="173"/>
      <c r="CK20" s="173"/>
      <c r="CL20" s="173"/>
      <c r="CM20" s="173"/>
      <c r="CN20" s="173"/>
      <c r="CO20" s="173"/>
      <c r="CP20" s="174"/>
      <c r="CQ20" s="174"/>
      <c r="CR20" s="174"/>
      <c r="CX20" s="198">
        <v>741.17554084849701</v>
      </c>
      <c r="CY20" s="198">
        <v>0</v>
      </c>
      <c r="CZ20" s="199">
        <f>IF(CX20&lt;intermediates!$B$55,intermediates!$B$56+(CX20-intermediates!$B$55)*intermediates!$B$53,intermediates!$B$56+(data!CX20-intermediates!$B$55)*intermediates!$B$58)</f>
        <v>0.37214279113918169</v>
      </c>
      <c r="DA20" s="220">
        <v>1364601.6599000001</v>
      </c>
      <c r="DB20" s="220">
        <v>3133269.3596999999</v>
      </c>
      <c r="DD20" s="209">
        <f t="shared" si="33"/>
        <v>1.5353685202081093E-3</v>
      </c>
      <c r="DE20" s="209">
        <f t="shared" si="34"/>
        <v>1.9608649665042812E-3</v>
      </c>
      <c r="DF20" s="209"/>
      <c r="DG20" s="201">
        <f t="shared" si="8"/>
        <v>13646016599000</v>
      </c>
      <c r="DH20" s="201">
        <f t="shared" si="8"/>
        <v>31332693597000</v>
      </c>
      <c r="DJ20" s="220">
        <v>4089087885331710</v>
      </c>
      <c r="DK20" s="220">
        <v>544502904007424</v>
      </c>
      <c r="DL20" s="220">
        <v>4633590789339130</v>
      </c>
      <c r="DM20" s="220">
        <v>1066249189705780</v>
      </c>
      <c r="DN20" s="220">
        <v>73337177459396.906</v>
      </c>
      <c r="DO20" s="220">
        <v>1139586367165180</v>
      </c>
      <c r="DP20" s="220">
        <v>2297981640145000</v>
      </c>
      <c r="DQ20" s="220">
        <v>426544987376240</v>
      </c>
      <c r="DR20" s="220">
        <v>2724526627521240</v>
      </c>
      <c r="DS20" s="220">
        <v>115351591237324</v>
      </c>
      <c r="DT20" s="220">
        <v>42976978424636.398</v>
      </c>
      <c r="DU20" s="220">
        <v>158328569661961</v>
      </c>
      <c r="DV20" s="220">
        <v>605451251701203</v>
      </c>
      <c r="DW20" s="220">
        <v>1243525322829.8101</v>
      </c>
      <c r="DX20" s="220">
        <v>606694777024032</v>
      </c>
      <c r="DY20" s="220">
        <v>252741409603405</v>
      </c>
      <c r="DZ20" s="220">
        <v>1116720366796.3999</v>
      </c>
      <c r="EA20" s="220">
        <v>253858129970201</v>
      </c>
      <c r="EB20" s="220">
        <v>191041892777416</v>
      </c>
      <c r="EC20" s="220">
        <v>5754982175007.1602</v>
      </c>
      <c r="ED20" s="220">
        <v>196796874952423</v>
      </c>
      <c r="EE20" s="212">
        <f t="shared" si="9"/>
        <v>2279.9346524669977</v>
      </c>
      <c r="EG20" s="212">
        <f t="shared" si="10"/>
        <v>0.15655746692566128</v>
      </c>
      <c r="EI20" s="212">
        <f t="shared" si="35"/>
        <v>0.15655746692566128</v>
      </c>
      <c r="EJ20" s="212">
        <v>0.31612470667113646</v>
      </c>
      <c r="EK20" s="212">
        <v>6.1824729891956781E-2</v>
      </c>
      <c r="EL20" s="212">
        <v>5.3634085213032583E-2</v>
      </c>
      <c r="EM20" s="212">
        <v>0.34620642515379357</v>
      </c>
      <c r="EN20" s="212">
        <f t="shared" si="11"/>
        <v>1922.9938585207267</v>
      </c>
      <c r="EP20" s="212">
        <f t="shared" si="12"/>
        <v>356.94079394627107</v>
      </c>
      <c r="ER20" s="215">
        <f t="shared" si="13"/>
        <v>299.65432444449499</v>
      </c>
      <c r="ES20" s="209">
        <f t="shared" si="42"/>
        <v>16.175766451848631</v>
      </c>
      <c r="EU20" s="215">
        <f t="shared" si="14"/>
        <v>299.65432444449499</v>
      </c>
      <c r="EV20" s="216">
        <f>data!EU20*conversions!$C$13</f>
        <v>0.34849797932894766</v>
      </c>
      <c r="EW20" s="217">
        <f t="shared" si="15"/>
        <v>5.7543666647869328E-2</v>
      </c>
      <c r="EX20" s="217"/>
      <c r="EZ20" s="217">
        <f t="shared" si="36"/>
        <v>5.7543666647869328E-2</v>
      </c>
      <c r="FA20" s="212">
        <f t="shared" si="16"/>
        <v>1.9582066171886612</v>
      </c>
      <c r="FD20" s="212">
        <f t="shared" si="37"/>
        <v>1.9582066171886612</v>
      </c>
      <c r="FE20" s="184">
        <f t="shared" si="17"/>
        <v>0.7833658631330721</v>
      </c>
      <c r="FG20" s="184">
        <f t="shared" si="38"/>
        <v>0.7833658631330721</v>
      </c>
      <c r="FH20" s="184">
        <f t="shared" si="18"/>
        <v>6.1808749699421642E-2</v>
      </c>
      <c r="FJ20" s="184">
        <f t="shared" si="39"/>
        <v>6.1808749699421642E-2</v>
      </c>
      <c r="FK20" s="184">
        <f t="shared" si="19"/>
        <v>4.6719928290785202E-2</v>
      </c>
      <c r="FM20" s="184">
        <f t="shared" si="40"/>
        <v>4.6719928290785202E-2</v>
      </c>
      <c r="FN20" s="218"/>
      <c r="FO20" s="218">
        <f t="shared" si="20"/>
        <v>426544987376240</v>
      </c>
      <c r="FP20" s="218">
        <f t="shared" si="21"/>
        <v>544502904007424</v>
      </c>
      <c r="FQ20" s="218">
        <f t="shared" si="22"/>
        <v>31332693597000</v>
      </c>
      <c r="FR20" s="218">
        <f t="shared" si="23"/>
        <v>1066249189705780</v>
      </c>
      <c r="FS20" s="218">
        <f t="shared" si="24"/>
        <v>3558263981947.9111</v>
      </c>
      <c r="FT20" s="218">
        <f>intermediates!$B$69*data!EU20/intermediates!$B$71</f>
        <v>0.76272027611823856</v>
      </c>
      <c r="FU20" s="218">
        <f>(Y20+W20)*conversions!$C$1*1000000</f>
        <v>0</v>
      </c>
      <c r="FV20" s="218">
        <f t="shared" si="41"/>
        <v>0</v>
      </c>
      <c r="FW20" s="221">
        <f t="shared" si="25"/>
        <v>146804151220.42847</v>
      </c>
      <c r="FX20" s="221">
        <f t="shared" si="26"/>
        <v>146804151220.42847</v>
      </c>
      <c r="FY20" s="221">
        <f>FX20*intermediates!$B$72*1000*ER20/(intermediates!$B$71*10000*1000000000)</f>
        <v>8.9576402203319088</v>
      </c>
      <c r="FZ20" s="221">
        <f t="shared" si="27"/>
        <v>2.7360108944339108</v>
      </c>
      <c r="GA20" s="218"/>
      <c r="GB20" s="218"/>
      <c r="GC20" s="218">
        <f t="shared" si="28"/>
        <v>7668775160862.5811</v>
      </c>
      <c r="GD20" s="218">
        <f t="shared" si="29"/>
        <v>11373843294030.922</v>
      </c>
      <c r="GE20" s="218">
        <f t="shared" si="30"/>
        <v>12758507215228.148</v>
      </c>
      <c r="GF20" s="218">
        <f t="shared" si="31"/>
        <v>788587379004.30164</v>
      </c>
      <c r="GG20" s="218">
        <f t="shared" si="32"/>
        <v>596076542192.92468</v>
      </c>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188">
        <f t="shared" si="4"/>
        <v>1964</v>
      </c>
    </row>
    <row r="21" spans="1:221" x14ac:dyDescent="0.3">
      <c r="A21" s="184">
        <v>1965</v>
      </c>
      <c r="B21" s="207">
        <v>3339583.51</v>
      </c>
      <c r="C21" s="207">
        <v>869165.29300000006</v>
      </c>
      <c r="D21" s="207">
        <f t="shared" si="1"/>
        <v>2470418.2169999997</v>
      </c>
      <c r="H21" s="207">
        <f t="shared" si="5"/>
        <v>3339583510</v>
      </c>
      <c r="L21" s="187">
        <f t="shared" si="6"/>
        <v>3339583510</v>
      </c>
      <c r="M21" s="184">
        <v>3703.3784689773825</v>
      </c>
      <c r="N21" s="184">
        <v>2610.4730537827254</v>
      </c>
      <c r="O21" s="184">
        <v>1092.9054151946564</v>
      </c>
      <c r="P21" s="184">
        <v>1554.2900069520006</v>
      </c>
      <c r="Q21" s="184">
        <v>542.24725987462534</v>
      </c>
      <c r="R21" s="184">
        <v>1388.8155869816724</v>
      </c>
      <c r="S21" s="184">
        <v>5.8349314029291977</v>
      </c>
      <c r="T21" s="184">
        <v>208.12107429526358</v>
      </c>
      <c r="U21" s="184">
        <v>0</v>
      </c>
      <c r="V21" s="184">
        <v>0</v>
      </c>
      <c r="W21" s="184">
        <v>4.0696094708903292</v>
      </c>
      <c r="Z21" s="184">
        <v>3.0789781468609747</v>
      </c>
      <c r="AA21" s="184">
        <v>1.3629055365295411</v>
      </c>
      <c r="AB21" s="184">
        <f>Z21*conversions!$C$6/conversions!$C$8</f>
        <v>11.282092487810992</v>
      </c>
      <c r="AC21" s="184">
        <f>AA21*conversions!$C$6/conversions!$C$8</f>
        <v>4.9940030691520976</v>
      </c>
      <c r="AD21" s="184">
        <f t="shared" si="7"/>
        <v>16.276095556963089</v>
      </c>
      <c r="AE21" s="212">
        <f t="shared" ref="AE21:AE74" si="43">P21+Q21+R21+S21</f>
        <v>3491.1877852112275</v>
      </c>
      <c r="AF21" s="212">
        <f t="shared" ref="AF21:AF74" si="44">1000*AD21/AE21</f>
        <v>4.6620510148176795</v>
      </c>
      <c r="AG21" s="184">
        <f>M21*conversions!$C$1*1000000/data!L21</f>
        <v>12937.566019443382</v>
      </c>
      <c r="AH21" s="184">
        <f>N21*conversions!$C$1*1000/C21</f>
        <v>35039.962140778276</v>
      </c>
      <c r="AI21" s="184">
        <f>O21*conversions!$C$1*1000/D21</f>
        <v>5161.2974230553091</v>
      </c>
      <c r="AK21" s="192">
        <f t="shared" ref="AK21:AK52" si="45">AG21</f>
        <v>12937.566019443382</v>
      </c>
      <c r="AL21" s="192">
        <f t="shared" ref="AL21:AL52" si="46">AK21*L21</f>
        <v>43206082138069.461</v>
      </c>
      <c r="AM21" s="192">
        <f>data!AL21/(1000000*conversions!$C$1)</f>
        <v>3703.3784689773825</v>
      </c>
      <c r="AN21" s="192">
        <f t="shared" ref="AN21:AN73" si="47">AM21</f>
        <v>3703.3784689773825</v>
      </c>
      <c r="AQ21" s="322">
        <v>9.9999999999999998E-13</v>
      </c>
      <c r="AT21" s="212">
        <f t="shared" ref="AT21:AT52" si="48">W21/AM21</f>
        <v>1.0988910544738558E-3</v>
      </c>
      <c r="BR21" s="212" t="str">
        <f t="shared" ref="BR21:BR52" si="49">IF(AND(BQ21&gt;0,BQ22=0),A22,"")</f>
        <v/>
      </c>
      <c r="CD21" s="173">
        <f t="shared" si="3"/>
        <v>1965</v>
      </c>
      <c r="CE21" s="173">
        <f t="shared" ref="CE21:CE52" si="50">P21</f>
        <v>1554.2900069520006</v>
      </c>
      <c r="CF21" s="173">
        <f t="shared" ref="CF21:CF52" si="51">Q21</f>
        <v>542.24725987462534</v>
      </c>
      <c r="CG21" s="173">
        <f t="shared" ref="CG21:CG52" si="52">R21</f>
        <v>1388.8155869816724</v>
      </c>
      <c r="CH21" s="173">
        <f t="shared" ref="CH21:CH52" si="53">S21</f>
        <v>5.8349314029291977</v>
      </c>
      <c r="CI21" s="173"/>
      <c r="CJ21" s="173">
        <f t="shared" ref="CJ21:CJ52" si="54">T21</f>
        <v>208.12107429526358</v>
      </c>
      <c r="CK21" s="173">
        <f t="shared" ref="CK21:CK52" si="55">Y21+W21</f>
        <v>4.0696094708903292</v>
      </c>
      <c r="CL21" s="173">
        <v>0</v>
      </c>
      <c r="CM21" s="173"/>
      <c r="CN21" s="173"/>
      <c r="CO21" s="173"/>
      <c r="CP21" s="174"/>
      <c r="CQ21" s="174"/>
      <c r="CR21" s="174"/>
      <c r="CT21" s="190">
        <f t="shared" ref="CT21:CT52" si="56">1000000000*AD21/L21</f>
        <v>4.873690239584124</v>
      </c>
      <c r="CU21" s="190">
        <f t="shared" ref="CU21:CU52" si="57">CT21*L21/1000000000</f>
        <v>16.276095556963089</v>
      </c>
      <c r="CV21" s="198">
        <f>CX21</f>
        <v>757.45163640546002</v>
      </c>
      <c r="CW21" s="198">
        <f>CV21</f>
        <v>757.45163640546002</v>
      </c>
      <c r="CX21" s="198">
        <v>757.45163640546002</v>
      </c>
      <c r="CY21" s="198">
        <f>CX21-CV21</f>
        <v>0</v>
      </c>
      <c r="CZ21" s="199">
        <f>IF(CX21&lt;intermediates!$B$55,intermediates!$B$56+(CX21-intermediates!$B$55)*intermediates!$B$53,intermediates!$B$56+(data!CX21-intermediates!$B$55)*intermediates!$B$58)</f>
        <v>0.38099372698290046</v>
      </c>
      <c r="DA21" s="220">
        <v>1370281.0342999999</v>
      </c>
      <c r="DB21" s="220">
        <v>3142966.8467000001</v>
      </c>
      <c r="DD21" s="209">
        <f t="shared" si="33"/>
        <v>3.6375076607191447E-3</v>
      </c>
      <c r="DE21" s="209">
        <f t="shared" si="34"/>
        <v>2.9688400719417138E-3</v>
      </c>
      <c r="DF21" s="209"/>
      <c r="DG21" s="201">
        <f t="shared" si="8"/>
        <v>13702810343000</v>
      </c>
      <c r="DH21" s="201">
        <f t="shared" si="8"/>
        <v>31429668467000</v>
      </c>
      <c r="DJ21" s="220">
        <v>4108066207387500</v>
      </c>
      <c r="DK21" s="220">
        <v>567423245815498</v>
      </c>
      <c r="DL21" s="220">
        <v>4675489453203000</v>
      </c>
      <c r="DM21" s="220">
        <v>1162898468320760</v>
      </c>
      <c r="DN21" s="220">
        <v>79928903619745.5</v>
      </c>
      <c r="DO21" s="220">
        <v>1242827371940510</v>
      </c>
      <c r="DP21" s="220">
        <v>2367626004912590</v>
      </c>
      <c r="DQ21" s="220">
        <v>438679425770035</v>
      </c>
      <c r="DR21" s="220">
        <v>2806305430682620</v>
      </c>
      <c r="DS21" s="220">
        <v>144183827208041</v>
      </c>
      <c r="DT21" s="220">
        <v>44862157576396.602</v>
      </c>
      <c r="DU21" s="220">
        <v>189045984784438</v>
      </c>
      <c r="DV21" s="220">
        <v>625222789510542</v>
      </c>
      <c r="DW21" s="220">
        <v>1093788473627.13</v>
      </c>
      <c r="DX21" s="220">
        <v>626316577984169</v>
      </c>
      <c r="DY21" s="220">
        <v>251082567367181</v>
      </c>
      <c r="DZ21" s="220">
        <v>1200845095132.01</v>
      </c>
      <c r="EA21" s="220">
        <v>252283412462313</v>
      </c>
      <c r="EB21" s="220">
        <v>185618552201094</v>
      </c>
      <c r="EC21" s="220">
        <v>5952666662106.1699</v>
      </c>
      <c r="ED21" s="220">
        <v>191571218863201</v>
      </c>
      <c r="EE21" s="212">
        <f t="shared" si="9"/>
        <v>2302.2355950210845</v>
      </c>
      <c r="EG21" s="212">
        <f t="shared" si="10"/>
        <v>0.15631920209887076</v>
      </c>
      <c r="EI21" s="212">
        <f t="shared" si="35"/>
        <v>0.15631920209887076</v>
      </c>
      <c r="EJ21" s="212">
        <v>0.3147410358565737</v>
      </c>
      <c r="EK21" s="212">
        <v>6.2882582081246516E-2</v>
      </c>
      <c r="EL21" s="212">
        <v>5.3340238218539615E-2</v>
      </c>
      <c r="EM21" s="212">
        <v>0.34394250513347024</v>
      </c>
      <c r="EN21" s="212">
        <f t="shared" si="11"/>
        <v>1942.3519637637737</v>
      </c>
      <c r="EP21" s="212">
        <f t="shared" si="12"/>
        <v>359.88363125731485</v>
      </c>
      <c r="ER21" s="215">
        <f t="shared" si="13"/>
        <v>299.79734846772374</v>
      </c>
      <c r="ES21" s="209">
        <f t="shared" si="42"/>
        <v>0.14302402322874741</v>
      </c>
      <c r="EU21" s="215">
        <f t="shared" si="14"/>
        <v>299.79734846772374</v>
      </c>
      <c r="EV21" s="216">
        <f>data!EU21*conversions!$C$13</f>
        <v>0.34866431626796268</v>
      </c>
      <c r="EW21" s="217">
        <f t="shared" si="15"/>
        <v>5.5390167214297729E-2</v>
      </c>
      <c r="EX21" s="217"/>
      <c r="EZ21" s="217">
        <f t="shared" si="36"/>
        <v>5.5390167214297729E-2</v>
      </c>
      <c r="FA21" s="212">
        <f t="shared" si="16"/>
        <v>2.0494374823319896</v>
      </c>
      <c r="FD21" s="212">
        <f t="shared" si="37"/>
        <v>2.0494374823319896</v>
      </c>
      <c r="FE21" s="184">
        <f t="shared" si="17"/>
        <v>0.77310795601890969</v>
      </c>
      <c r="FG21" s="184">
        <f t="shared" si="38"/>
        <v>0.77310795601890969</v>
      </c>
      <c r="FH21" s="184">
        <f t="shared" si="18"/>
        <v>6.1119406234413018E-2</v>
      </c>
      <c r="FJ21" s="184">
        <f t="shared" si="39"/>
        <v>6.1119406234413018E-2</v>
      </c>
      <c r="FK21" s="184">
        <f t="shared" si="19"/>
        <v>4.5183924218966519E-2</v>
      </c>
      <c r="FM21" s="184">
        <f t="shared" si="40"/>
        <v>4.5183924218966519E-2</v>
      </c>
      <c r="FN21" s="218"/>
      <c r="FO21" s="218">
        <f t="shared" si="20"/>
        <v>438679425770034.94</v>
      </c>
      <c r="FP21" s="218">
        <f t="shared" si="21"/>
        <v>567423245815497.88</v>
      </c>
      <c r="FQ21" s="218">
        <f t="shared" si="22"/>
        <v>31429668466999.992</v>
      </c>
      <c r="FR21" s="218">
        <f t="shared" si="23"/>
        <v>1162898468320759.8</v>
      </c>
      <c r="FS21" s="218">
        <f t="shared" si="24"/>
        <v>3878948477244.3135</v>
      </c>
      <c r="FT21" s="218">
        <f>intermediates!$B$69*data!EU21/intermediates!$B$71</f>
        <v>0.76308431999676696</v>
      </c>
      <c r="FU21" s="218">
        <f>(Y21+W21)*conversions!$C$1*1000000</f>
        <v>47478777160.387177</v>
      </c>
      <c r="FV21" s="218">
        <f t="shared" si="41"/>
        <v>62219568553.824219</v>
      </c>
      <c r="FW21" s="221">
        <f t="shared" si="25"/>
        <v>183497983390.97815</v>
      </c>
      <c r="FX21" s="221">
        <f t="shared" si="26"/>
        <v>121278414837.15393</v>
      </c>
      <c r="FY21" s="221">
        <f>FX21*intermediates!$B$72*1000*ER21/(intermediates!$B$71*10000*1000000000)</f>
        <v>7.4036525373036328</v>
      </c>
      <c r="FZ21" s="221">
        <f t="shared" si="27"/>
        <v>2.2169388832871655</v>
      </c>
      <c r="GA21" s="218"/>
      <c r="GB21" s="218"/>
      <c r="GC21" s="218">
        <f t="shared" si="28"/>
        <v>7897421431555.7539</v>
      </c>
      <c r="GD21" s="218">
        <f t="shared" si="29"/>
        <v>11959867892191.047</v>
      </c>
      <c r="GE21" s="218">
        <f t="shared" si="30"/>
        <v>13382468906657.541</v>
      </c>
      <c r="GF21" s="218">
        <f t="shared" si="31"/>
        <v>817928553525.40332</v>
      </c>
      <c r="GG21" s="218">
        <f t="shared" si="32"/>
        <v>604672460941.09009</v>
      </c>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188">
        <f t="shared" si="4"/>
        <v>1965</v>
      </c>
    </row>
    <row r="22" spans="1:221" x14ac:dyDescent="0.3">
      <c r="A22" s="211">
        <v>1966</v>
      </c>
      <c r="B22" s="207">
        <v>3407922.6310000001</v>
      </c>
      <c r="C22" s="207">
        <v>879781.35400000017</v>
      </c>
      <c r="D22" s="207">
        <f t="shared" si="1"/>
        <v>2528141.2769999998</v>
      </c>
      <c r="H22" s="207">
        <f t="shared" si="5"/>
        <v>3407922631</v>
      </c>
      <c r="L22" s="187">
        <f t="shared" si="6"/>
        <v>3407922631</v>
      </c>
      <c r="M22" s="184">
        <v>3904.2987453824653</v>
      </c>
      <c r="N22" s="184">
        <v>2741.3875596562389</v>
      </c>
      <c r="O22" s="184">
        <v>1162.9111857262278</v>
      </c>
      <c r="P22" s="184">
        <v>1673.6686508215223</v>
      </c>
      <c r="Q22" s="184">
        <v>590.85617672250373</v>
      </c>
      <c r="R22" s="184">
        <v>1404.2966698977702</v>
      </c>
      <c r="S22" s="184">
        <v>7.8237477771452744</v>
      </c>
      <c r="T22" s="184">
        <v>223.17189476567157</v>
      </c>
      <c r="U22" s="184">
        <v>0</v>
      </c>
      <c r="V22" s="184">
        <v>0</v>
      </c>
      <c r="W22" s="184">
        <v>4.4816053978533139</v>
      </c>
      <c r="Z22" s="184">
        <v>3.2221559974400984</v>
      </c>
      <c r="AA22" s="184">
        <v>1.318462435020447</v>
      </c>
      <c r="AB22" s="184">
        <f>Z22*conversions!$C$6/conversions!$C$8</f>
        <v>11.806729453515509</v>
      </c>
      <c r="AC22" s="184">
        <f>AA22*conversions!$C$6/conversions!$C$8</f>
        <v>4.8311532021655585</v>
      </c>
      <c r="AD22" s="184">
        <f t="shared" si="7"/>
        <v>16.637882655681068</v>
      </c>
      <c r="AE22" s="212">
        <f t="shared" si="43"/>
        <v>3676.6452452189419</v>
      </c>
      <c r="AF22" s="212">
        <f t="shared" si="44"/>
        <v>4.5252891007955522</v>
      </c>
      <c r="AG22" s="184">
        <f>M22*conversions!$C$1*1000000/data!L22</f>
        <v>13365.958374499874</v>
      </c>
      <c r="AH22" s="184">
        <f>N22*conversions!$C$1*1000/C22</f>
        <v>36353.185615088762</v>
      </c>
      <c r="AI22" s="184">
        <f>O22*conversions!$C$1*1000/D22</f>
        <v>5366.5106812802505</v>
      </c>
      <c r="AK22" s="192">
        <f t="shared" si="45"/>
        <v>13365.958374499874</v>
      </c>
      <c r="AL22" s="192">
        <f t="shared" si="46"/>
        <v>45550152029462.094</v>
      </c>
      <c r="AM22" s="192">
        <f>data!AL22/(1000000*conversions!$C$1)</f>
        <v>3904.2987453824653</v>
      </c>
      <c r="AN22" s="192">
        <f t="shared" si="47"/>
        <v>3904.2987453824653</v>
      </c>
      <c r="AQ22" s="322">
        <v>9.9999999999999998E-13</v>
      </c>
      <c r="AR22" s="212">
        <f t="shared" ref="AR22:AR53" si="58">T22-T21</f>
        <v>15.050820470407984</v>
      </c>
      <c r="AT22" s="212">
        <f t="shared" si="48"/>
        <v>1.1478643644146384E-3</v>
      </c>
      <c r="BR22" s="212" t="str">
        <f t="shared" si="49"/>
        <v/>
      </c>
      <c r="CD22" s="173">
        <f t="shared" si="3"/>
        <v>1966</v>
      </c>
      <c r="CE22" s="173">
        <f t="shared" si="50"/>
        <v>1673.6686508215223</v>
      </c>
      <c r="CF22" s="173">
        <f t="shared" si="51"/>
        <v>590.85617672250373</v>
      </c>
      <c r="CG22" s="173">
        <f t="shared" si="52"/>
        <v>1404.2966698977702</v>
      </c>
      <c r="CH22" s="173">
        <f t="shared" si="53"/>
        <v>7.8237477771452744</v>
      </c>
      <c r="CI22" s="173"/>
      <c r="CJ22" s="173">
        <f t="shared" si="54"/>
        <v>223.17189476567157</v>
      </c>
      <c r="CK22" s="173">
        <f t="shared" si="55"/>
        <v>4.4816053978533139</v>
      </c>
      <c r="CL22" s="173">
        <v>0</v>
      </c>
      <c r="CM22" s="173"/>
      <c r="CN22" s="173"/>
      <c r="CO22" s="173"/>
      <c r="CP22" s="174"/>
      <c r="CQ22" s="174"/>
      <c r="CR22" s="174"/>
      <c r="CT22" s="190">
        <f t="shared" si="56"/>
        <v>4.8821186561970009</v>
      </c>
      <c r="CU22" s="190">
        <f t="shared" si="57"/>
        <v>16.637882655681068</v>
      </c>
      <c r="CV22" s="198">
        <f t="shared" ref="CV22:CV73" si="59">CX22</f>
        <v>774.08951906114112</v>
      </c>
      <c r="CW22" s="198">
        <f t="shared" ref="CW22:CW74" si="60">CV22</f>
        <v>774.08951906114112</v>
      </c>
      <c r="CX22" s="198">
        <v>774.08951906114112</v>
      </c>
      <c r="CY22" s="198">
        <f t="shared" ref="CY22:CY74" si="61">CX22-CV22</f>
        <v>0</v>
      </c>
      <c r="CZ22" s="199">
        <f>IF(CX22&lt;intermediates!$B$55,intermediates!$B$56+(CX22-intermediates!$B$55)*intermediates!$B$53,intermediates!$B$56+(data!CX22-intermediates!$B$55)*intermediates!$B$58)</f>
        <v>0.3900414025415363</v>
      </c>
      <c r="DA22" s="220">
        <v>1367335.409</v>
      </c>
      <c r="DB22" s="220">
        <v>3150927.2566999998</v>
      </c>
      <c r="DD22" s="209">
        <f t="shared" si="33"/>
        <v>-1.8866047278654921E-3</v>
      </c>
      <c r="DE22" s="209">
        <f t="shared" si="34"/>
        <v>2.4370421117433949E-3</v>
      </c>
      <c r="DF22" s="209"/>
      <c r="DG22" s="201">
        <f t="shared" si="8"/>
        <v>13673354090000</v>
      </c>
      <c r="DH22" s="201">
        <f t="shared" si="8"/>
        <v>31509272566999.996</v>
      </c>
      <c r="DJ22" s="220">
        <v>4375352631360830</v>
      </c>
      <c r="DK22" s="220">
        <v>585618606617274</v>
      </c>
      <c r="DL22" s="220">
        <v>4960971237978100</v>
      </c>
      <c r="DM22" s="220">
        <v>1216579604517940</v>
      </c>
      <c r="DN22" s="220">
        <v>81183901026748.594</v>
      </c>
      <c r="DO22" s="220">
        <v>1297763505544690</v>
      </c>
      <c r="DP22" s="220">
        <v>2429229931134700</v>
      </c>
      <c r="DQ22" s="220">
        <v>452330773290693</v>
      </c>
      <c r="DR22" s="220">
        <v>2881560704425390</v>
      </c>
      <c r="DS22" s="220">
        <v>125351065117035</v>
      </c>
      <c r="DT22" s="220">
        <v>45743575469964.703</v>
      </c>
      <c r="DU22" s="220">
        <v>171094640587000</v>
      </c>
      <c r="DV22" s="220">
        <v>652408854388853</v>
      </c>
      <c r="DW22" s="220">
        <v>975614976218.10706</v>
      </c>
      <c r="DX22" s="220">
        <v>653384469365071</v>
      </c>
      <c r="DY22" s="220">
        <v>251072611417832</v>
      </c>
      <c r="DZ22" s="220">
        <v>1263159843844.6101</v>
      </c>
      <c r="EA22" s="220">
        <v>252335771261677</v>
      </c>
      <c r="EB22" s="220">
        <v>192499824986045</v>
      </c>
      <c r="EC22" s="220">
        <v>6230610709174.6201</v>
      </c>
      <c r="ED22" s="220">
        <v>198730435695220</v>
      </c>
      <c r="EE22" s="212">
        <f t="shared" si="9"/>
        <v>2316.5686889795547</v>
      </c>
      <c r="EG22" s="212">
        <f t="shared" si="10"/>
        <v>0.15697423017881276</v>
      </c>
      <c r="EI22" s="212">
        <f t="shared" si="35"/>
        <v>0.15697423017881276</v>
      </c>
      <c r="EJ22" s="212">
        <v>0.31374501992031872</v>
      </c>
      <c r="EK22" s="212">
        <v>6.3270777479892765E-2</v>
      </c>
      <c r="EL22" s="212">
        <v>5.4151624548736461E-2</v>
      </c>
      <c r="EM22" s="212">
        <v>0.33920108327691267</v>
      </c>
      <c r="EN22" s="212">
        <f t="shared" si="11"/>
        <v>1952.9271023706499</v>
      </c>
      <c r="EP22" s="212">
        <f t="shared" si="12"/>
        <v>363.64158660890712</v>
      </c>
      <c r="ER22" s="215">
        <f t="shared" si="13"/>
        <v>319.99117426211774</v>
      </c>
      <c r="ES22" s="209">
        <f t="shared" si="42"/>
        <v>20.193825794394002</v>
      </c>
      <c r="EU22" s="215">
        <f t="shared" si="14"/>
        <v>319.99117426211774</v>
      </c>
      <c r="EV22" s="216">
        <f>data!EU22*conversions!$C$13</f>
        <v>0.3721497356668429</v>
      </c>
      <c r="EW22" s="217">
        <f t="shared" si="15"/>
        <v>5.3805108326403658E-2</v>
      </c>
      <c r="EX22" s="217"/>
      <c r="EZ22" s="217">
        <f t="shared" si="36"/>
        <v>5.3805108326403658E-2</v>
      </c>
      <c r="FA22" s="212">
        <f t="shared" si="16"/>
        <v>2.0774264867458783</v>
      </c>
      <c r="FD22" s="212">
        <f t="shared" si="37"/>
        <v>2.0774264867458783</v>
      </c>
      <c r="FE22" s="184">
        <f t="shared" si="17"/>
        <v>0.77239822672900471</v>
      </c>
      <c r="FG22" s="184">
        <f t="shared" si="38"/>
        <v>0.77239822672900471</v>
      </c>
      <c r="FH22" s="184">
        <f t="shared" si="18"/>
        <v>5.7383400281440386E-2</v>
      </c>
      <c r="FJ22" s="184">
        <f t="shared" si="39"/>
        <v>5.7383400281440386E-2</v>
      </c>
      <c r="FK22" s="184">
        <f t="shared" si="19"/>
        <v>4.3996413821889679E-2</v>
      </c>
      <c r="FM22" s="184">
        <f t="shared" si="40"/>
        <v>4.3996413821889679E-2</v>
      </c>
      <c r="FN22" s="218"/>
      <c r="FO22" s="218">
        <f t="shared" si="20"/>
        <v>452330773290693.06</v>
      </c>
      <c r="FP22" s="218">
        <f t="shared" si="21"/>
        <v>585618606617274</v>
      </c>
      <c r="FQ22" s="218">
        <f t="shared" si="22"/>
        <v>31509272566999.996</v>
      </c>
      <c r="FR22" s="218">
        <f t="shared" si="23"/>
        <v>1216579604517940</v>
      </c>
      <c r="FS22" s="218">
        <f t="shared" si="24"/>
        <v>3801916122603.4014</v>
      </c>
      <c r="FT22" s="218">
        <f>intermediates!$B$69*data!EU22/intermediates!$B$71</f>
        <v>0.81448434705907213</v>
      </c>
      <c r="FU22" s="218">
        <f>(Y22+W22)*conversions!$C$1*1000000</f>
        <v>52285396308.288666</v>
      </c>
      <c r="FV22" s="218">
        <f t="shared" si="41"/>
        <v>64194476538.536301</v>
      </c>
      <c r="FW22" s="221">
        <f t="shared" si="25"/>
        <v>159530150574.36569</v>
      </c>
      <c r="FX22" s="221">
        <f t="shared" si="26"/>
        <v>95335674035.829391</v>
      </c>
      <c r="FY22" s="221">
        <f>FX22*intermediates!$B$72*1000*ER22/(intermediates!$B$71*10000*1000000000)</f>
        <v>6.2119531374807222</v>
      </c>
      <c r="FZ22" s="221">
        <f t="shared" si="27"/>
        <v>1.8227975837755228</v>
      </c>
      <c r="GA22" s="218"/>
      <c r="GB22" s="218"/>
      <c r="GC22" s="218">
        <f t="shared" si="28"/>
        <v>7591552913096.3447</v>
      </c>
      <c r="GD22" s="218">
        <f t="shared" si="29"/>
        <v>11552999186274.111</v>
      </c>
      <c r="GE22" s="218">
        <f t="shared" si="30"/>
        <v>12856376217218.162</v>
      </c>
      <c r="GF22" s="218">
        <f t="shared" si="31"/>
        <v>737742582641.42017</v>
      </c>
      <c r="GG22" s="218">
        <f t="shared" si="32"/>
        <v>565634448302.63086</v>
      </c>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188">
        <f t="shared" si="4"/>
        <v>1966</v>
      </c>
    </row>
    <row r="23" spans="1:221" x14ac:dyDescent="0.3">
      <c r="A23" s="184">
        <v>1967</v>
      </c>
      <c r="B23" s="207">
        <v>3478770.1039999998</v>
      </c>
      <c r="C23" s="207">
        <v>890158.59699999995</v>
      </c>
      <c r="D23" s="207">
        <f t="shared" si="1"/>
        <v>2588611.5069999998</v>
      </c>
      <c r="H23" s="207">
        <f t="shared" si="5"/>
        <v>3478770104</v>
      </c>
      <c r="L23" s="187">
        <f t="shared" si="6"/>
        <v>3478770104</v>
      </c>
      <c r="M23" s="184">
        <v>4052.1364023670435</v>
      </c>
      <c r="N23" s="184">
        <v>2850.277615409067</v>
      </c>
      <c r="O23" s="184">
        <v>1201.8587869579769</v>
      </c>
      <c r="P23" s="184">
        <v>1793.4345704994587</v>
      </c>
      <c r="Q23" s="184">
        <v>634.34780897460018</v>
      </c>
      <c r="R23" s="184">
        <v>1381.868844961572</v>
      </c>
      <c r="S23" s="184">
        <v>9.5958399782776063</v>
      </c>
      <c r="T23" s="184">
        <v>228.3668754598894</v>
      </c>
      <c r="U23" s="184">
        <v>0</v>
      </c>
      <c r="V23" s="184">
        <v>0</v>
      </c>
      <c r="W23" s="184">
        <v>4.5224624932452624</v>
      </c>
      <c r="Z23" s="184">
        <v>3.3252846040177739</v>
      </c>
      <c r="AA23" s="184">
        <v>1.2951815251235961</v>
      </c>
      <c r="AB23" s="184">
        <f>Z23*conversions!$C$6/conversions!$C$8</f>
        <v>12.184616668705589</v>
      </c>
      <c r="AC23" s="184">
        <f>AA23*conversions!$C$6/conversions!$C$8</f>
        <v>4.7458465302346626</v>
      </c>
      <c r="AD23" s="184">
        <f t="shared" si="7"/>
        <v>16.930463198940252</v>
      </c>
      <c r="AE23" s="212">
        <f t="shared" si="43"/>
        <v>3819.2470644139084</v>
      </c>
      <c r="AF23" s="212">
        <f t="shared" si="44"/>
        <v>4.4329321757398157</v>
      </c>
      <c r="AG23" s="184">
        <f>M23*conversions!$C$1*1000000/data!L23</f>
        <v>13589.551272710998</v>
      </c>
      <c r="AH23" s="184">
        <f>N23*conversions!$C$1*1000/C23</f>
        <v>37356.532822924717</v>
      </c>
      <c r="AI23" s="184">
        <f>O23*conversions!$C$1*1000/D23</f>
        <v>5416.6821904045046</v>
      </c>
      <c r="AK23" s="192">
        <f t="shared" si="45"/>
        <v>13589.551272710998</v>
      </c>
      <c r="AL23" s="192">
        <f t="shared" si="46"/>
        <v>47274924694282.172</v>
      </c>
      <c r="AM23" s="192">
        <f>data!AL23/(1000000*conversions!$C$1)</f>
        <v>4052.1364023670435</v>
      </c>
      <c r="AN23" s="192">
        <f t="shared" si="47"/>
        <v>4052.1364023670435</v>
      </c>
      <c r="AQ23" s="322">
        <v>9.9999999999999998E-13</v>
      </c>
      <c r="AR23" s="212">
        <f t="shared" si="58"/>
        <v>5.1949806942178327</v>
      </c>
      <c r="AT23" s="212">
        <f t="shared" si="48"/>
        <v>1.1160686719735001E-3</v>
      </c>
      <c r="BR23" s="212" t="str">
        <f t="shared" si="49"/>
        <v/>
      </c>
      <c r="CD23" s="173">
        <f t="shared" si="3"/>
        <v>1967</v>
      </c>
      <c r="CE23" s="173">
        <f t="shared" si="50"/>
        <v>1793.4345704994587</v>
      </c>
      <c r="CF23" s="173">
        <f t="shared" si="51"/>
        <v>634.34780897460018</v>
      </c>
      <c r="CG23" s="173">
        <f t="shared" si="52"/>
        <v>1381.868844961572</v>
      </c>
      <c r="CH23" s="173">
        <f t="shared" si="53"/>
        <v>9.5958399782776063</v>
      </c>
      <c r="CI23" s="173"/>
      <c r="CJ23" s="173">
        <f t="shared" si="54"/>
        <v>228.3668754598894</v>
      </c>
      <c r="CK23" s="173">
        <f t="shared" si="55"/>
        <v>4.5224624932452624</v>
      </c>
      <c r="CL23" s="173">
        <v>0</v>
      </c>
      <c r="CM23" s="173"/>
      <c r="CN23" s="173"/>
      <c r="CO23" s="173"/>
      <c r="CP23" s="174"/>
      <c r="CQ23" s="174"/>
      <c r="CR23" s="174"/>
      <c r="CT23" s="190">
        <f t="shared" si="56"/>
        <v>4.8667956469653078</v>
      </c>
      <c r="CU23" s="190">
        <f t="shared" si="57"/>
        <v>16.930463198940249</v>
      </c>
      <c r="CV23" s="198">
        <f t="shared" si="59"/>
        <v>791.01998226008152</v>
      </c>
      <c r="CW23" s="198">
        <f t="shared" si="60"/>
        <v>791.01998226008152</v>
      </c>
      <c r="CX23" s="198">
        <v>791.01998226008152</v>
      </c>
      <c r="CY23" s="198">
        <f t="shared" si="61"/>
        <v>0</v>
      </c>
      <c r="CZ23" s="199">
        <f>IF(CX23&lt;intermediates!$B$55,intermediates!$B$56+(CX23-intermediates!$B$55)*intermediates!$B$53,intermediates!$B$56+(data!CX23-intermediates!$B$55)*intermediates!$B$58)</f>
        <v>0.39924818331115142</v>
      </c>
      <c r="DA23" s="220">
        <v>1371166.6072</v>
      </c>
      <c r="DB23" s="220">
        <v>3160765.4267000002</v>
      </c>
      <c r="DD23" s="209">
        <f t="shared" si="33"/>
        <v>2.453793643580479E-3</v>
      </c>
      <c r="DE23" s="209">
        <f t="shared" si="34"/>
        <v>3.0119095112553776E-3</v>
      </c>
      <c r="DF23" s="209"/>
      <c r="DG23" s="201">
        <f t="shared" si="8"/>
        <v>13711666072000</v>
      </c>
      <c r="DH23" s="201">
        <f t="shared" si="8"/>
        <v>31607654267000</v>
      </c>
      <c r="DJ23" s="220">
        <v>4539675576947650</v>
      </c>
      <c r="DK23" s="220">
        <v>607522748865836</v>
      </c>
      <c r="DL23" s="220">
        <v>5147198325813490</v>
      </c>
      <c r="DM23" s="220">
        <v>1261356593643220</v>
      </c>
      <c r="DN23" s="220">
        <v>82935115295334.797</v>
      </c>
      <c r="DO23" s="220">
        <v>1344291708938550</v>
      </c>
      <c r="DP23" s="220">
        <v>2476543986585260</v>
      </c>
      <c r="DQ23" s="220">
        <v>468568859152998</v>
      </c>
      <c r="DR23" s="220">
        <v>2945112845738260</v>
      </c>
      <c r="DS23" s="220">
        <v>127691012082317</v>
      </c>
      <c r="DT23" s="220">
        <v>49372854666437.102</v>
      </c>
      <c r="DU23" s="220">
        <v>177063866748754</v>
      </c>
      <c r="DV23" s="220">
        <v>671188963082467</v>
      </c>
      <c r="DW23" s="220">
        <v>931919085803.77502</v>
      </c>
      <c r="DX23" s="220">
        <v>672120882168271</v>
      </c>
      <c r="DY23" s="220">
        <v>251987955129507</v>
      </c>
      <c r="DZ23" s="220">
        <v>1279863167958.3799</v>
      </c>
      <c r="EA23" s="220">
        <v>253267818297465</v>
      </c>
      <c r="EB23" s="220">
        <v>196758551480838</v>
      </c>
      <c r="EC23" s="220">
        <v>6693637453873</v>
      </c>
      <c r="ED23" s="220">
        <v>203452188934711</v>
      </c>
      <c r="EE23" s="212">
        <f t="shared" si="9"/>
        <v>2319.4410886230621</v>
      </c>
      <c r="EG23" s="212">
        <f t="shared" si="10"/>
        <v>0.15910047719599024</v>
      </c>
      <c r="EI23" s="212">
        <f t="shared" si="35"/>
        <v>0.15910047719599024</v>
      </c>
      <c r="EJ23" s="212">
        <v>0.32157123834886819</v>
      </c>
      <c r="EK23" s="212">
        <v>6.6042927903137039E-2</v>
      </c>
      <c r="EL23" s="212">
        <v>5.0226017076845805E-2</v>
      </c>
      <c r="EM23" s="212">
        <v>0.33814640698455339</v>
      </c>
      <c r="EN23" s="212">
        <f t="shared" si="11"/>
        <v>1950.4169045951444</v>
      </c>
      <c r="EP23" s="212">
        <f t="shared" si="12"/>
        <v>369.02418402791631</v>
      </c>
      <c r="ER23" s="215">
        <f t="shared" si="13"/>
        <v>331.08125249767608</v>
      </c>
      <c r="ES23" s="209">
        <f t="shared" si="42"/>
        <v>11.090078235558337</v>
      </c>
      <c r="EU23" s="215">
        <f t="shared" si="14"/>
        <v>331.08125249767608</v>
      </c>
      <c r="EV23" s="216">
        <f>data!EU23*conversions!$C$13</f>
        <v>0.38504749665479726</v>
      </c>
      <c r="EW23" s="217">
        <f t="shared" si="15"/>
        <v>5.2027112278523358E-2</v>
      </c>
      <c r="EX23" s="217"/>
      <c r="EZ23" s="217">
        <f t="shared" si="36"/>
        <v>5.2027112278523358E-2</v>
      </c>
      <c r="FA23" s="212">
        <f t="shared" si="16"/>
        <v>2.0762294021055254</v>
      </c>
      <c r="FD23" s="212">
        <f t="shared" si="37"/>
        <v>2.0762294021055254</v>
      </c>
      <c r="FE23" s="184">
        <f t="shared" si="17"/>
        <v>0.77127788223198823</v>
      </c>
      <c r="FG23" s="184">
        <f t="shared" si="38"/>
        <v>0.77127788223198823</v>
      </c>
      <c r="FH23" s="184">
        <f t="shared" si="18"/>
        <v>5.5507921405021768E-2</v>
      </c>
      <c r="FJ23" s="184">
        <f t="shared" si="39"/>
        <v>5.5507921405021768E-2</v>
      </c>
      <c r="FK23" s="184">
        <f t="shared" si="19"/>
        <v>4.3341985158581071E-2</v>
      </c>
      <c r="FM23" s="184">
        <f t="shared" si="40"/>
        <v>4.3341985158581071E-2</v>
      </c>
      <c r="FN23" s="218"/>
      <c r="FO23" s="218">
        <f t="shared" si="20"/>
        <v>468568859152998</v>
      </c>
      <c r="FP23" s="218">
        <f t="shared" si="21"/>
        <v>607522748865836</v>
      </c>
      <c r="FQ23" s="218">
        <f t="shared" si="22"/>
        <v>31607654267000</v>
      </c>
      <c r="FR23" s="218">
        <f t="shared" si="23"/>
        <v>1261356593643220</v>
      </c>
      <c r="FS23" s="218">
        <f t="shared" si="24"/>
        <v>3809809779706.792</v>
      </c>
      <c r="FT23" s="218">
        <f>intermediates!$B$69*data!EU23/intermediates!$B$71</f>
        <v>0.84271229788100233</v>
      </c>
      <c r="FU23" s="218">
        <f>(Y23+W23)*conversions!$C$1*1000000</f>
        <v>52762062421.194725</v>
      </c>
      <c r="FV23" s="218">
        <f t="shared" si="41"/>
        <v>62609816605.103287</v>
      </c>
      <c r="FW23" s="221">
        <f t="shared" si="25"/>
        <v>162508123608.41165</v>
      </c>
      <c r="FX23" s="221">
        <f t="shared" si="26"/>
        <v>99898307003.308365</v>
      </c>
      <c r="FY23" s="221">
        <f>FX23*intermediates!$B$72*1000*ER23/(intermediates!$B$71*10000*1000000000)</f>
        <v>6.7348425479343863</v>
      </c>
      <c r="FZ23" s="221">
        <f t="shared" si="27"/>
        <v>1.935983795017225</v>
      </c>
      <c r="GA23" s="218"/>
      <c r="GB23" s="218"/>
      <c r="GC23" s="218">
        <f t="shared" si="28"/>
        <v>7480169800924.1504</v>
      </c>
      <c r="GD23" s="218">
        <f t="shared" si="29"/>
        <v>11452487704239.355</v>
      </c>
      <c r="GE23" s="218">
        <f t="shared" si="30"/>
        <v>12708746065338.635</v>
      </c>
      <c r="GF23" s="218">
        <f t="shared" si="31"/>
        <v>705436077751.19653</v>
      </c>
      <c r="GG23" s="218">
        <f t="shared" si="32"/>
        <v>550822283348.08264</v>
      </c>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188">
        <f t="shared" si="4"/>
        <v>1967</v>
      </c>
    </row>
    <row r="24" spans="1:221" x14ac:dyDescent="0.3">
      <c r="A24" s="211">
        <v>1968</v>
      </c>
      <c r="B24" s="207">
        <v>3551599.4360000002</v>
      </c>
      <c r="C24" s="207">
        <v>900381.82299999986</v>
      </c>
      <c r="D24" s="207">
        <f t="shared" si="1"/>
        <v>2651217.6130000004</v>
      </c>
      <c r="H24" s="207">
        <f t="shared" si="5"/>
        <v>3551599436</v>
      </c>
      <c r="L24" s="187">
        <f t="shared" si="6"/>
        <v>3551599436</v>
      </c>
      <c r="M24" s="184">
        <v>4297.991782452038</v>
      </c>
      <c r="N24" s="184">
        <v>3039.9968047989805</v>
      </c>
      <c r="O24" s="184">
        <v>1257.9949776530577</v>
      </c>
      <c r="P24" s="184">
        <v>1946.9656421823329</v>
      </c>
      <c r="Q24" s="184">
        <v>691.86712364826622</v>
      </c>
      <c r="R24" s="184">
        <v>1402.6296213231383</v>
      </c>
      <c r="S24" s="184">
        <v>11.884668614220097</v>
      </c>
      <c r="T24" s="184">
        <v>239.63951215356093</v>
      </c>
      <c r="U24" s="184">
        <v>0</v>
      </c>
      <c r="V24" s="184">
        <v>0</v>
      </c>
      <c r="W24" s="184">
        <v>5.0052145305190807</v>
      </c>
      <c r="Z24" s="184">
        <v>3.5067761238166026</v>
      </c>
      <c r="AA24" s="184">
        <v>1.2900534258308409</v>
      </c>
      <c r="AB24" s="184">
        <f>Z24*conversions!$C$6/conversions!$C$8</f>
        <v>12.849643835011172</v>
      </c>
      <c r="AC24" s="184">
        <f>AA24*conversions!$C$6/conversions!$C$8</f>
        <v>4.7270559809848969</v>
      </c>
      <c r="AD24" s="184">
        <f t="shared" si="7"/>
        <v>17.576699815996069</v>
      </c>
      <c r="AE24" s="212">
        <f t="shared" si="43"/>
        <v>4053.347055767957</v>
      </c>
      <c r="AF24" s="212">
        <f t="shared" si="44"/>
        <v>4.3363421819467032</v>
      </c>
      <c r="AG24" s="184">
        <f>M24*conversions!$C$1*1000000/data!L24</f>
        <v>14118.494600960523</v>
      </c>
      <c r="AH24" s="184">
        <f>N24*conversions!$C$1*1000/C24</f>
        <v>39390.65459045973</v>
      </c>
      <c r="AI24" s="184">
        <f>O24*conversions!$C$1*1000/D24</f>
        <v>5535.7990987437679</v>
      </c>
      <c r="AK24" s="192">
        <f t="shared" si="45"/>
        <v>14118.494600960523</v>
      </c>
      <c r="AL24" s="192">
        <f t="shared" si="46"/>
        <v>50143237461940.438</v>
      </c>
      <c r="AM24" s="192">
        <f>data!AL24/(1000000*conversions!$C$1)</f>
        <v>4297.991782452038</v>
      </c>
      <c r="AN24" s="192">
        <f t="shared" si="47"/>
        <v>4297.991782452038</v>
      </c>
      <c r="AQ24" s="322">
        <v>9.9999999999999998E-13</v>
      </c>
      <c r="AR24" s="212">
        <f t="shared" si="58"/>
        <v>11.272636693671529</v>
      </c>
      <c r="AT24" s="212">
        <f t="shared" si="48"/>
        <v>1.1645472545932991E-3</v>
      </c>
      <c r="BR24" s="212" t="str">
        <f t="shared" si="49"/>
        <v/>
      </c>
      <c r="CD24" s="173">
        <f t="shared" si="3"/>
        <v>1968</v>
      </c>
      <c r="CE24" s="173">
        <f t="shared" si="50"/>
        <v>1946.9656421823329</v>
      </c>
      <c r="CF24" s="173">
        <f t="shared" si="51"/>
        <v>691.86712364826622</v>
      </c>
      <c r="CG24" s="173">
        <f t="shared" si="52"/>
        <v>1402.6296213231383</v>
      </c>
      <c r="CH24" s="173">
        <f t="shared" si="53"/>
        <v>11.884668614220097</v>
      </c>
      <c r="CI24" s="173"/>
      <c r="CJ24" s="173">
        <f t="shared" si="54"/>
        <v>239.63951215356093</v>
      </c>
      <c r="CK24" s="173">
        <f t="shared" si="55"/>
        <v>5.0052145305190807</v>
      </c>
      <c r="CL24" s="173">
        <v>0</v>
      </c>
      <c r="CM24" s="173"/>
      <c r="CN24" s="173"/>
      <c r="CO24" s="173"/>
      <c r="CP24" s="174"/>
      <c r="CQ24" s="174"/>
      <c r="CR24" s="174"/>
      <c r="CT24" s="190">
        <f t="shared" si="56"/>
        <v>4.9489533188438282</v>
      </c>
      <c r="CU24" s="190">
        <f t="shared" si="57"/>
        <v>17.576699815996069</v>
      </c>
      <c r="CV24" s="198">
        <f t="shared" si="59"/>
        <v>808.59668207607751</v>
      </c>
      <c r="CW24" s="198">
        <f t="shared" si="60"/>
        <v>808.59668207607751</v>
      </c>
      <c r="CX24" s="198">
        <v>808.59668207607751</v>
      </c>
      <c r="CY24" s="198">
        <f t="shared" si="61"/>
        <v>0</v>
      </c>
      <c r="CZ24" s="199">
        <f>IF(CX24&lt;intermediates!$B$55,intermediates!$B$56+(CX24-intermediates!$B$55)*intermediates!$B$53,intermediates!$B$56+(data!CX24-intermediates!$B$55)*intermediates!$B$58)</f>
        <v>0.40880638735776809</v>
      </c>
      <c r="DA24" s="220">
        <v>1383094.2467</v>
      </c>
      <c r="DB24" s="220">
        <v>3182911.0844000001</v>
      </c>
      <c r="DD24" s="209">
        <f t="shared" si="33"/>
        <v>7.6393766284447726E-3</v>
      </c>
      <c r="DE24" s="209">
        <f t="shared" si="34"/>
        <v>6.7797890318659704E-3</v>
      </c>
      <c r="DF24" s="209"/>
      <c r="DG24" s="201">
        <f t="shared" si="8"/>
        <v>13830942467000</v>
      </c>
      <c r="DH24" s="201">
        <f t="shared" si="8"/>
        <v>31829110844000</v>
      </c>
      <c r="DJ24" s="220">
        <v>4676819927134670</v>
      </c>
      <c r="DK24" s="220">
        <v>623739341654332</v>
      </c>
      <c r="DL24" s="220">
        <v>5300559268789000</v>
      </c>
      <c r="DM24" s="220">
        <v>1337658749332580</v>
      </c>
      <c r="DN24" s="220">
        <v>87803769918240.594</v>
      </c>
      <c r="DO24" s="220">
        <v>1425462519250820</v>
      </c>
      <c r="DP24" s="220">
        <v>2526000307142590</v>
      </c>
      <c r="DQ24" s="220">
        <v>485274879435161</v>
      </c>
      <c r="DR24" s="220">
        <v>3011275186577750</v>
      </c>
      <c r="DS24" s="220">
        <v>126351722631386</v>
      </c>
      <c r="DT24" s="220">
        <v>50997319608304.102</v>
      </c>
      <c r="DU24" s="220">
        <v>177349042239690</v>
      </c>
      <c r="DV24" s="220">
        <v>679181950343600</v>
      </c>
      <c r="DW24" s="220">
        <v>1122846378430.49</v>
      </c>
      <c r="DX24" s="220">
        <v>680304796722030</v>
      </c>
      <c r="DY24" s="220">
        <v>254331551109475</v>
      </c>
      <c r="DZ24" s="220">
        <v>1361789002349.04</v>
      </c>
      <c r="EA24" s="220">
        <v>255693340111824</v>
      </c>
      <c r="EB24" s="220">
        <v>207901826187573</v>
      </c>
      <c r="EC24" s="220">
        <v>7046197049901.6904</v>
      </c>
      <c r="ED24" s="220">
        <v>214948023237475</v>
      </c>
      <c r="EE24" s="212">
        <f t="shared" si="9"/>
        <v>2322.9165205674963</v>
      </c>
      <c r="EG24" s="212">
        <f t="shared" si="10"/>
        <v>0.1611526178670723</v>
      </c>
      <c r="EI24" s="212">
        <f t="shared" si="35"/>
        <v>0.1611526178670723</v>
      </c>
      <c r="EJ24" s="212">
        <v>0.32331809274983669</v>
      </c>
      <c r="EK24" s="212">
        <v>6.5984072810011382E-2</v>
      </c>
      <c r="EL24" s="212">
        <v>5.2238805970149252E-2</v>
      </c>
      <c r="EM24" s="212">
        <v>0.34021992669110296</v>
      </c>
      <c r="EN24" s="212">
        <f t="shared" si="11"/>
        <v>1948.5724421913742</v>
      </c>
      <c r="EP24" s="212">
        <f t="shared" si="12"/>
        <v>374.34407837612298</v>
      </c>
      <c r="ER24" s="215">
        <f t="shared" si="13"/>
        <v>338.14181053050794</v>
      </c>
      <c r="ES24" s="209">
        <f t="shared" si="42"/>
        <v>7.0605580328318638</v>
      </c>
      <c r="EU24" s="215">
        <f t="shared" si="14"/>
        <v>338.14181053050794</v>
      </c>
      <c r="EV24" s="216">
        <f>data!EU24*conversions!$C$13</f>
        <v>0.39325892564698073</v>
      </c>
      <c r="EW24" s="217">
        <f t="shared" si="15"/>
        <v>5.1029506587768302E-2</v>
      </c>
      <c r="EX24" s="217"/>
      <c r="EZ24" s="217">
        <f t="shared" si="36"/>
        <v>5.1029506587768302E-2</v>
      </c>
      <c r="FA24" s="212">
        <f t="shared" si="16"/>
        <v>2.1445797306687968</v>
      </c>
      <c r="FD24" s="212">
        <f t="shared" si="37"/>
        <v>2.1445797306687968</v>
      </c>
      <c r="FE24" s="184">
        <f t="shared" si="17"/>
        <v>0.77800909294590215</v>
      </c>
      <c r="FG24" s="184">
        <f t="shared" si="38"/>
        <v>0.77800909294590215</v>
      </c>
      <c r="FH24" s="184">
        <f t="shared" si="18"/>
        <v>5.4381300771033828E-2</v>
      </c>
      <c r="FJ24" s="184">
        <f t="shared" si="39"/>
        <v>5.4381300771033828E-2</v>
      </c>
      <c r="FK24" s="184">
        <f t="shared" si="19"/>
        <v>4.4453673527461948E-2</v>
      </c>
      <c r="FM24" s="184">
        <f t="shared" si="40"/>
        <v>4.4453673527461948E-2</v>
      </c>
      <c r="FN24" s="218"/>
      <c r="FO24" s="218">
        <f t="shared" si="20"/>
        <v>485274879435161</v>
      </c>
      <c r="FP24" s="218">
        <f t="shared" si="21"/>
        <v>623739341654332</v>
      </c>
      <c r="FQ24" s="218">
        <f t="shared" si="22"/>
        <v>31829110844000</v>
      </c>
      <c r="FR24" s="218">
        <f t="shared" si="23"/>
        <v>1337658749332580</v>
      </c>
      <c r="FS24" s="218">
        <f t="shared" si="24"/>
        <v>3955910531247.0469</v>
      </c>
      <c r="FT24" s="218">
        <f>intermediates!$B$69*data!EU24/intermediates!$B$71</f>
        <v>0.86068377478971569</v>
      </c>
      <c r="FU24" s="218">
        <f>(Y24+W24)*conversions!$C$1*1000000</f>
        <v>58394169522.72261</v>
      </c>
      <c r="FV24" s="218">
        <f t="shared" si="41"/>
        <v>67846253447.71907</v>
      </c>
      <c r="FW24" s="221">
        <f t="shared" si="25"/>
        <v>160803654264.09296</v>
      </c>
      <c r="FX24" s="221">
        <f t="shared" si="26"/>
        <v>92957400816.373886</v>
      </c>
      <c r="FY24" s="221">
        <f>FX24*intermediates!$B$72*1000*ER24/(intermediates!$B$71*10000*1000000000)</f>
        <v>6.4005541303421829</v>
      </c>
      <c r="FZ24" s="221">
        <f t="shared" si="27"/>
        <v>1.8021610391826246</v>
      </c>
      <c r="GA24" s="218"/>
      <c r="GB24" s="218"/>
      <c r="GC24" s="218">
        <f t="shared" si="28"/>
        <v>7470239492654.1875</v>
      </c>
      <c r="GD24" s="218">
        <f t="shared" si="29"/>
        <v>11586953678165.328</v>
      </c>
      <c r="GE24" s="218">
        <f t="shared" si="30"/>
        <v>12857748966839.412</v>
      </c>
      <c r="GF24" s="218">
        <f t="shared" si="31"/>
        <v>699221113804.14355</v>
      </c>
      <c r="GG24" s="218">
        <f t="shared" si="32"/>
        <v>571574174869.94043</v>
      </c>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188">
        <f t="shared" si="4"/>
        <v>1968</v>
      </c>
    </row>
    <row r="25" spans="1:221" x14ac:dyDescent="0.3">
      <c r="A25" s="184">
        <v>1969</v>
      </c>
      <c r="B25" s="207">
        <v>3625680.9649999999</v>
      </c>
      <c r="C25" s="207">
        <v>910579.50699999987</v>
      </c>
      <c r="D25" s="207">
        <f t="shared" si="1"/>
        <v>2715101.4580000001</v>
      </c>
      <c r="H25" s="207">
        <f t="shared" si="5"/>
        <v>3625680965</v>
      </c>
      <c r="L25" s="187">
        <f t="shared" si="6"/>
        <v>3625680965</v>
      </c>
      <c r="M25" s="184">
        <v>4591.0628309474287</v>
      </c>
      <c r="N25" s="184">
        <v>3244.6398559468057</v>
      </c>
      <c r="O25" s="184">
        <v>1346.4229750006227</v>
      </c>
      <c r="P25" s="184">
        <v>2110.9738599620027</v>
      </c>
      <c r="Q25" s="184">
        <v>759.71894272949817</v>
      </c>
      <c r="R25" s="184">
        <v>1446.7719713484719</v>
      </c>
      <c r="S25" s="184">
        <v>14.354609801759253</v>
      </c>
      <c r="T25" s="184">
        <v>253.98074982178028</v>
      </c>
      <c r="U25" s="184">
        <v>0</v>
      </c>
      <c r="V25" s="184">
        <v>0</v>
      </c>
      <c r="W25" s="184">
        <v>5.2626972839157489</v>
      </c>
      <c r="Z25" s="184">
        <v>3.7403430994601532</v>
      </c>
      <c r="AA25" s="184">
        <v>1.2956680158958436</v>
      </c>
      <c r="AB25" s="184">
        <f>Z25*conversions!$C$6/conversions!$C$8</f>
        <v>13.70548759083495</v>
      </c>
      <c r="AC25" s="184">
        <f>AA25*conversions!$C$6/conversions!$C$8</f>
        <v>4.747629145643141</v>
      </c>
      <c r="AD25" s="184">
        <f t="shared" si="7"/>
        <v>18.453116736478091</v>
      </c>
      <c r="AE25" s="212">
        <f t="shared" si="43"/>
        <v>4331.8193838417328</v>
      </c>
      <c r="AF25" s="212">
        <f t="shared" si="44"/>
        <v>4.259899848389499</v>
      </c>
      <c r="AG25" s="184">
        <f>M25*conversions!$C$1*1000000/data!L25</f>
        <v>14773.059243613474</v>
      </c>
      <c r="AH25" s="184">
        <f>N25*conversions!$C$1*1000/C25</f>
        <v>41571.473288946676</v>
      </c>
      <c r="AI25" s="184">
        <f>O25*conversions!$C$1*1000/D25</f>
        <v>5785.5178838307447</v>
      </c>
      <c r="AK25" s="192">
        <f t="shared" si="45"/>
        <v>14773.059243613474</v>
      </c>
      <c r="AL25" s="192">
        <f t="shared" si="46"/>
        <v>53562399694386.672</v>
      </c>
      <c r="AM25" s="192">
        <f>data!AL25/(1000000*conversions!$C$1)</f>
        <v>4591.0628309474296</v>
      </c>
      <c r="AN25" s="192">
        <f t="shared" si="47"/>
        <v>4591.0628309474296</v>
      </c>
      <c r="AQ25" s="322">
        <v>9.9999999999999998E-13</v>
      </c>
      <c r="AR25" s="212">
        <f t="shared" si="58"/>
        <v>14.34123766821935</v>
      </c>
      <c r="AT25" s="212">
        <f t="shared" si="48"/>
        <v>1.146291714511282E-3</v>
      </c>
      <c r="BR25" s="212" t="str">
        <f t="shared" si="49"/>
        <v/>
      </c>
      <c r="CD25" s="173">
        <f t="shared" si="3"/>
        <v>1969</v>
      </c>
      <c r="CE25" s="173">
        <f t="shared" si="50"/>
        <v>2110.9738599620027</v>
      </c>
      <c r="CF25" s="173">
        <f t="shared" si="51"/>
        <v>759.71894272949817</v>
      </c>
      <c r="CG25" s="173">
        <f t="shared" si="52"/>
        <v>1446.7719713484719</v>
      </c>
      <c r="CH25" s="173">
        <f t="shared" si="53"/>
        <v>14.354609801759253</v>
      </c>
      <c r="CI25" s="173"/>
      <c r="CJ25" s="173">
        <f t="shared" si="54"/>
        <v>253.98074982178028</v>
      </c>
      <c r="CK25" s="173">
        <f t="shared" si="55"/>
        <v>5.2626972839157489</v>
      </c>
      <c r="CL25" s="173">
        <v>0</v>
      </c>
      <c r="CM25" s="173"/>
      <c r="CN25" s="173"/>
      <c r="CO25" s="173"/>
      <c r="CP25" s="174"/>
      <c r="CQ25" s="174"/>
      <c r="CR25" s="174"/>
      <c r="CT25" s="190">
        <f t="shared" si="56"/>
        <v>5.0895588758670858</v>
      </c>
      <c r="CU25" s="190">
        <f t="shared" si="57"/>
        <v>18.453116736478091</v>
      </c>
      <c r="CV25" s="198">
        <f t="shared" si="59"/>
        <v>827.04979881255554</v>
      </c>
      <c r="CW25" s="198">
        <f t="shared" si="60"/>
        <v>827.04979881255554</v>
      </c>
      <c r="CX25" s="198">
        <v>827.04979881255554</v>
      </c>
      <c r="CY25" s="198">
        <f t="shared" si="61"/>
        <v>0</v>
      </c>
      <c r="CZ25" s="199">
        <f>IF(CX25&lt;intermediates!$B$55,intermediates!$B$56+(CX25-intermediates!$B$55)*intermediates!$B$53,intermediates!$B$56+(data!CX25-intermediates!$B$55)*intermediates!$B$58)</f>
        <v>0.41884118666080772</v>
      </c>
      <c r="DA25" s="220">
        <v>1398606.176</v>
      </c>
      <c r="DB25" s="220">
        <v>3181332.1329000001</v>
      </c>
      <c r="DD25" s="209">
        <f t="shared" si="33"/>
        <v>9.9350311649263785E-3</v>
      </c>
      <c r="DE25" s="209">
        <f t="shared" si="34"/>
        <v>-4.8338858148015896E-4</v>
      </c>
      <c r="DF25" s="209"/>
      <c r="DG25" s="201">
        <f t="shared" si="8"/>
        <v>13986061760000</v>
      </c>
      <c r="DH25" s="201">
        <f t="shared" si="8"/>
        <v>31813321329000</v>
      </c>
      <c r="DJ25" s="220">
        <v>4684723055035800</v>
      </c>
      <c r="DK25" s="220">
        <v>624565112805279</v>
      </c>
      <c r="DL25" s="220">
        <v>5309288167841080</v>
      </c>
      <c r="DM25" s="220">
        <v>1407589734278500</v>
      </c>
      <c r="DN25" s="220">
        <v>86829712167340.703</v>
      </c>
      <c r="DO25" s="220">
        <v>1494419446445840</v>
      </c>
      <c r="DP25" s="220">
        <v>2594236915608790</v>
      </c>
      <c r="DQ25" s="220">
        <v>490555537499263</v>
      </c>
      <c r="DR25" s="220">
        <v>3084792453108050</v>
      </c>
      <c r="DS25" s="220">
        <v>129521352428933</v>
      </c>
      <c r="DT25" s="220">
        <v>51211238273011.602</v>
      </c>
      <c r="DU25" s="220">
        <v>180732590701945</v>
      </c>
      <c r="DV25" s="220">
        <v>678293600007680</v>
      </c>
      <c r="DW25" s="220">
        <v>1112925116022.1799</v>
      </c>
      <c r="DX25" s="220">
        <v>679406525123702</v>
      </c>
      <c r="DY25" s="220">
        <v>253650231260351</v>
      </c>
      <c r="DZ25" s="220">
        <v>1406688501329.6799</v>
      </c>
      <c r="EA25" s="220">
        <v>255056919761680</v>
      </c>
      <c r="EB25" s="220">
        <v>220529866517003</v>
      </c>
      <c r="EC25" s="220">
        <v>6945812483461.0498</v>
      </c>
      <c r="ED25" s="220">
        <v>227475679000464</v>
      </c>
      <c r="EE25" s="212">
        <f t="shared" si="9"/>
        <v>2331.0065762773938</v>
      </c>
      <c r="EG25" s="212">
        <f t="shared" si="10"/>
        <v>0.15902383870428916</v>
      </c>
      <c r="EI25" s="212">
        <f t="shared" si="35"/>
        <v>0.15902383870428916</v>
      </c>
      <c r="EJ25" s="212">
        <v>0.3276372001314492</v>
      </c>
      <c r="EK25" s="212">
        <v>6.3547082611207395E-2</v>
      </c>
      <c r="EL25" s="212">
        <v>5.2062868369351673E-2</v>
      </c>
      <c r="EM25" s="212">
        <v>0.32344213649851633</v>
      </c>
      <c r="EN25" s="212">
        <f t="shared" si="11"/>
        <v>1960.3209624728224</v>
      </c>
      <c r="EP25" s="212">
        <f t="shared" si="12"/>
        <v>370.68561380457356</v>
      </c>
      <c r="ER25" s="215">
        <f t="shared" si="13"/>
        <v>334.95655427706333</v>
      </c>
      <c r="ES25" s="209">
        <f t="shared" si="42"/>
        <v>-3.1852562534446065</v>
      </c>
      <c r="EU25" s="215">
        <f t="shared" si="14"/>
        <v>334.95655427706333</v>
      </c>
      <c r="EV25" s="216">
        <f>data!EU25*conversions!$C$13</f>
        <v>0.38955447262422466</v>
      </c>
      <c r="EW25" s="217">
        <f t="shared" si="15"/>
        <v>5.0936756915717217E-2</v>
      </c>
      <c r="EX25" s="217"/>
      <c r="EZ25" s="217">
        <f t="shared" si="36"/>
        <v>5.0936756915717217E-2</v>
      </c>
      <c r="FA25" s="212">
        <f t="shared" si="16"/>
        <v>2.2537117514556804</v>
      </c>
      <c r="FD25" s="212">
        <f t="shared" si="37"/>
        <v>2.2537117514556804</v>
      </c>
      <c r="FE25" s="184">
        <f t="shared" si="17"/>
        <v>0.78543538126216761</v>
      </c>
      <c r="FG25" s="184">
        <f t="shared" si="38"/>
        <v>0.78543538126216761</v>
      </c>
      <c r="FH25" s="184">
        <f t="shared" si="18"/>
        <v>5.41441251234034E-2</v>
      </c>
      <c r="FJ25" s="184">
        <f t="shared" si="39"/>
        <v>5.41441251234034E-2</v>
      </c>
      <c r="FK25" s="184">
        <f t="shared" si="19"/>
        <v>4.7074259017285229E-2</v>
      </c>
      <c r="FM25" s="184">
        <f t="shared" si="40"/>
        <v>4.7074259017285229E-2</v>
      </c>
      <c r="FN25" s="218"/>
      <c r="FO25" s="218">
        <f t="shared" si="20"/>
        <v>490555537499263</v>
      </c>
      <c r="FP25" s="218">
        <f t="shared" si="21"/>
        <v>624565112805279</v>
      </c>
      <c r="FQ25" s="218">
        <f t="shared" si="22"/>
        <v>31813321329000</v>
      </c>
      <c r="FR25" s="218">
        <f t="shared" si="23"/>
        <v>1407589734278500</v>
      </c>
      <c r="FS25" s="218">
        <f t="shared" si="24"/>
        <v>4202305392460.5259</v>
      </c>
      <c r="FT25" s="218">
        <f>intermediates!$B$69*data!EU25/intermediates!$B$71</f>
        <v>0.85257623443087593</v>
      </c>
      <c r="FU25" s="218">
        <f>(Y25+W25)*conversions!$C$1*1000000</f>
        <v>61398134979.017067</v>
      </c>
      <c r="FV25" s="218">
        <f t="shared" si="41"/>
        <v>72014832808.473068</v>
      </c>
      <c r="FW25" s="221">
        <f t="shared" si="25"/>
        <v>164837537170.43735</v>
      </c>
      <c r="FX25" s="221">
        <f t="shared" si="26"/>
        <v>92822704361.964279</v>
      </c>
      <c r="FY25" s="221">
        <f>FX25*intermediates!$B$72*1000*ER25/(intermediates!$B$71*10000*1000000000)</f>
        <v>6.3310745403691158</v>
      </c>
      <c r="FZ25" s="221">
        <f t="shared" si="27"/>
        <v>1.7461752982364558</v>
      </c>
      <c r="GA25" s="218"/>
      <c r="GB25" s="218"/>
      <c r="GC25" s="218">
        <f t="shared" si="28"/>
        <v>7744995231420.1797</v>
      </c>
      <c r="GD25" s="218">
        <f t="shared" si="29"/>
        <v>12112138161051.143</v>
      </c>
      <c r="GE25" s="218">
        <f t="shared" si="30"/>
        <v>13476174798558.727</v>
      </c>
      <c r="GF25" s="218">
        <f t="shared" si="31"/>
        <v>729655694478.01929</v>
      </c>
      <c r="GG25" s="218">
        <f t="shared" si="32"/>
        <v>634380943029.56506</v>
      </c>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188">
        <f t="shared" si="4"/>
        <v>1969</v>
      </c>
    </row>
    <row r="26" spans="1:221" x14ac:dyDescent="0.3">
      <c r="A26" s="211">
        <v>1970</v>
      </c>
      <c r="B26" s="207">
        <v>3700437.0419999999</v>
      </c>
      <c r="C26" s="207">
        <v>920838.76599999971</v>
      </c>
      <c r="D26" s="207">
        <f t="shared" si="1"/>
        <v>2779598.2760000001</v>
      </c>
      <c r="H26" s="207">
        <f t="shared" si="5"/>
        <v>3700437042</v>
      </c>
      <c r="L26" s="187">
        <f t="shared" si="6"/>
        <v>3700437042</v>
      </c>
      <c r="M26" s="184">
        <v>4876.1130397507777</v>
      </c>
      <c r="N26" s="184">
        <v>3421.8759738650751</v>
      </c>
      <c r="O26" s="184">
        <v>1454.2370658857028</v>
      </c>
      <c r="P26" s="184">
        <v>2292.7063070469421</v>
      </c>
      <c r="Q26" s="184">
        <v>826.7306352743542</v>
      </c>
      <c r="R26" s="184">
        <v>1467.3471941146156</v>
      </c>
      <c r="S26" s="184">
        <v>17.741460769859238</v>
      </c>
      <c r="T26" s="184">
        <v>265.77371308252037</v>
      </c>
      <c r="U26" s="184">
        <v>0</v>
      </c>
      <c r="V26" s="184">
        <v>0</v>
      </c>
      <c r="W26" s="184">
        <v>5.8137294624855542</v>
      </c>
      <c r="Z26" s="184">
        <v>4.0501253838046338</v>
      </c>
      <c r="AA26" s="184">
        <v>1.2718244229698179</v>
      </c>
      <c r="AB26" s="184">
        <f>Z26*conversions!$C$6/conversions!$C$8</f>
        <v>14.840601975009111</v>
      </c>
      <c r="AC26" s="184">
        <f>AA26*conversions!$C$6/conversions!$C$8</f>
        <v>4.6602606721424795</v>
      </c>
      <c r="AD26" s="184">
        <f t="shared" si="7"/>
        <v>19.500862647151592</v>
      </c>
      <c r="AE26" s="212">
        <f t="shared" si="43"/>
        <v>4604.5255972057712</v>
      </c>
      <c r="AF26" s="212">
        <f t="shared" si="44"/>
        <v>4.23515131699682</v>
      </c>
      <c r="AG26" s="184">
        <f>M26*conversions!$C$1*1000000/data!L26</f>
        <v>15373.315318725823</v>
      </c>
      <c r="AH26" s="184">
        <f>N26*conversions!$C$1*1000/C26</f>
        <v>43353.828960931496</v>
      </c>
      <c r="AI26" s="184">
        <f>O26*conversions!$C$1*1000/D26</f>
        <v>6103.7953752133726</v>
      </c>
      <c r="AK26" s="192">
        <f t="shared" si="45"/>
        <v>15373.315318725823</v>
      </c>
      <c r="AL26" s="192">
        <f t="shared" si="46"/>
        <v>56887985463759.07</v>
      </c>
      <c r="AM26" s="192">
        <f>data!AL26/(1000000*conversions!$C$1)</f>
        <v>4876.1130397507777</v>
      </c>
      <c r="AN26" s="192">
        <f t="shared" si="47"/>
        <v>4876.1130397507777</v>
      </c>
      <c r="AQ26" s="322">
        <v>9.9999999999999998E-13</v>
      </c>
      <c r="AR26" s="212">
        <f t="shared" si="58"/>
        <v>11.792963260740095</v>
      </c>
      <c r="AT26" s="212">
        <f t="shared" si="48"/>
        <v>1.1922876715718426E-3</v>
      </c>
      <c r="BR26" s="212" t="str">
        <f t="shared" si="49"/>
        <v/>
      </c>
      <c r="CD26" s="173">
        <f t="shared" si="3"/>
        <v>1970</v>
      </c>
      <c r="CE26" s="173">
        <f t="shared" si="50"/>
        <v>2292.7063070469421</v>
      </c>
      <c r="CF26" s="173">
        <f t="shared" si="51"/>
        <v>826.7306352743542</v>
      </c>
      <c r="CG26" s="173">
        <f t="shared" si="52"/>
        <v>1467.3471941146156</v>
      </c>
      <c r="CH26" s="173">
        <f t="shared" si="53"/>
        <v>17.741460769859238</v>
      </c>
      <c r="CI26" s="173"/>
      <c r="CJ26" s="173">
        <f t="shared" si="54"/>
        <v>265.77371308252037</v>
      </c>
      <c r="CK26" s="173">
        <f t="shared" si="55"/>
        <v>5.8137294624855542</v>
      </c>
      <c r="CL26" s="173">
        <v>0</v>
      </c>
      <c r="CM26" s="173"/>
      <c r="CN26" s="173"/>
      <c r="CO26" s="173"/>
      <c r="CP26" s="174"/>
      <c r="CQ26" s="174"/>
      <c r="CR26" s="174"/>
      <c r="CT26" s="190">
        <f t="shared" si="56"/>
        <v>5.2698809426607163</v>
      </c>
      <c r="CU26" s="190">
        <f t="shared" si="57"/>
        <v>19.500862647151592</v>
      </c>
      <c r="CV26" s="198">
        <f t="shared" si="59"/>
        <v>846.55066145970727</v>
      </c>
      <c r="CW26" s="198">
        <f t="shared" si="60"/>
        <v>846.55066145970727</v>
      </c>
      <c r="CX26" s="198">
        <v>846.55066145970727</v>
      </c>
      <c r="CY26" s="198">
        <f t="shared" si="61"/>
        <v>0</v>
      </c>
      <c r="CZ26" s="199">
        <f>IF(CX26&lt;intermediates!$B$55,intermediates!$B$56+(CX26-intermediates!$B$55)*intermediates!$B$53,intermediates!$B$56+(data!CX26-intermediates!$B$55)*intermediates!$B$58)</f>
        <v>0.42944574987334505</v>
      </c>
      <c r="DA26" s="220">
        <v>1394463.7226</v>
      </c>
      <c r="DB26" s="220">
        <v>3172005.9759</v>
      </c>
      <c r="DD26" s="209">
        <f t="shared" si="33"/>
        <v>-2.6531453845818733E-3</v>
      </c>
      <c r="DE26" s="209">
        <f t="shared" si="34"/>
        <v>-2.8551591374981499E-3</v>
      </c>
      <c r="DF26" s="209"/>
      <c r="DG26" s="201">
        <f t="shared" si="8"/>
        <v>13944637226000</v>
      </c>
      <c r="DH26" s="201">
        <f t="shared" si="8"/>
        <v>31720059759000</v>
      </c>
      <c r="DJ26" s="220">
        <v>4837973675559320</v>
      </c>
      <c r="DK26" s="220">
        <v>641681357281681</v>
      </c>
      <c r="DL26" s="220">
        <v>5479655032841000</v>
      </c>
      <c r="DM26" s="220">
        <v>1464995687144060</v>
      </c>
      <c r="DN26" s="220">
        <v>83675386842590.5</v>
      </c>
      <c r="DO26" s="220">
        <v>1548671073986650</v>
      </c>
      <c r="DP26" s="220">
        <v>2709707255730670</v>
      </c>
      <c r="DQ26" s="220">
        <v>502472884452679</v>
      </c>
      <c r="DR26" s="220">
        <v>3212180140183350</v>
      </c>
      <c r="DS26" s="220">
        <v>140482313779216</v>
      </c>
      <c r="DT26" s="220">
        <v>52220601736277.703</v>
      </c>
      <c r="DU26" s="220">
        <v>192702915515494</v>
      </c>
      <c r="DV26" s="220">
        <v>747481396657505</v>
      </c>
      <c r="DW26" s="220">
        <v>934400167781.57996</v>
      </c>
      <c r="DX26" s="220">
        <v>748415796825286</v>
      </c>
      <c r="DY26" s="220">
        <v>257132737439695</v>
      </c>
      <c r="DZ26" s="220">
        <v>1502384311664.0601</v>
      </c>
      <c r="EA26" s="220">
        <v>258635121751359</v>
      </c>
      <c r="EB26" s="220">
        <v>233253177297474</v>
      </c>
      <c r="EC26" s="220">
        <v>6835410131593.9502</v>
      </c>
      <c r="ED26" s="220">
        <v>240088587429068</v>
      </c>
      <c r="EE26" s="212">
        <f t="shared" si="9"/>
        <v>2378.2308508057854</v>
      </c>
      <c r="EG26" s="212">
        <f t="shared" si="10"/>
        <v>0.15642736786984743</v>
      </c>
      <c r="EI26" s="212">
        <f t="shared" si="35"/>
        <v>0.15642736786984743</v>
      </c>
      <c r="EJ26" s="212">
        <v>0.33150596581747821</v>
      </c>
      <c r="EK26" s="212">
        <v>5.8152173913043476E-2</v>
      </c>
      <c r="EL26" s="212">
        <v>4.7844623401231641E-2</v>
      </c>
      <c r="EM26" s="212">
        <v>0.32353912182238365</v>
      </c>
      <c r="EN26" s="212">
        <f t="shared" si="11"/>
        <v>2006.2104586273679</v>
      </c>
      <c r="EP26" s="212">
        <f t="shared" si="12"/>
        <v>372.02039217841684</v>
      </c>
      <c r="ER26" s="215">
        <f t="shared" si="13"/>
        <v>346.94152290594127</v>
      </c>
      <c r="ES26" s="209">
        <f t="shared" si="42"/>
        <v>11.984968628877937</v>
      </c>
      <c r="EU26" s="215">
        <f t="shared" si="14"/>
        <v>346.94152290594127</v>
      </c>
      <c r="EV26" s="216">
        <f>data!EU26*conversions!$C$13</f>
        <v>0.40349299113960968</v>
      </c>
      <c r="EW26" s="217">
        <f t="shared" si="15"/>
        <v>4.9432727628824877E-2</v>
      </c>
      <c r="EX26" s="217"/>
      <c r="EZ26" s="217">
        <f t="shared" si="36"/>
        <v>4.9432727628824877E-2</v>
      </c>
      <c r="FA26" s="212">
        <f t="shared" si="16"/>
        <v>2.2830578923940377</v>
      </c>
      <c r="FD26" s="212">
        <f t="shared" si="37"/>
        <v>2.2830578923940377</v>
      </c>
      <c r="FE26" s="184">
        <f t="shared" si="17"/>
        <v>0.78305669745693862</v>
      </c>
      <c r="FG26" s="184">
        <f t="shared" si="38"/>
        <v>0.78305669745693862</v>
      </c>
      <c r="FH26" s="184">
        <f t="shared" si="18"/>
        <v>5.3148850052386405E-2</v>
      </c>
      <c r="FJ26" s="184">
        <f t="shared" si="39"/>
        <v>5.3148850052386405E-2</v>
      </c>
      <c r="FK26" s="184">
        <f t="shared" si="19"/>
        <v>4.8212990177237271E-2</v>
      </c>
      <c r="FM26" s="184">
        <f t="shared" si="40"/>
        <v>4.8212990177237271E-2</v>
      </c>
      <c r="FN26" s="218"/>
      <c r="FO26" s="218">
        <f t="shared" si="20"/>
        <v>502472884452679</v>
      </c>
      <c r="FP26" s="218">
        <f t="shared" si="21"/>
        <v>641681357281681</v>
      </c>
      <c r="FQ26" s="218">
        <f t="shared" si="22"/>
        <v>31720059759000</v>
      </c>
      <c r="FR26" s="218">
        <f t="shared" si="23"/>
        <v>1464995687144060</v>
      </c>
      <c r="FS26" s="218">
        <f t="shared" si="24"/>
        <v>4222601189022.9482</v>
      </c>
      <c r="FT26" s="218">
        <f>intermediates!$B$69*data!EU26/intermediates!$B$71</f>
        <v>0.88308198000565552</v>
      </c>
      <c r="FU26" s="218">
        <f>(Y26+W26)*conversions!$C$1*1000000</f>
        <v>67826843728.998123</v>
      </c>
      <c r="FV26" s="218">
        <f t="shared" si="41"/>
        <v>76806961601.191025</v>
      </c>
      <c r="FW26" s="221">
        <f t="shared" si="25"/>
        <v>178787189796.18768</v>
      </c>
      <c r="FX26" s="221">
        <f t="shared" si="26"/>
        <v>101980228194.99666</v>
      </c>
      <c r="FY26" s="221">
        <f>FX26*intermediates!$B$72*1000*ER26/(intermediates!$B$71*10000*1000000000)</f>
        <v>7.2045521468692977</v>
      </c>
      <c r="FZ26" s="221">
        <f t="shared" si="27"/>
        <v>1.9469462836679976</v>
      </c>
      <c r="GA26" s="218"/>
      <c r="GB26" s="218"/>
      <c r="GC26" s="218">
        <f t="shared" si="28"/>
        <v>7810270829027.5596</v>
      </c>
      <c r="GD26" s="218">
        <f t="shared" si="29"/>
        <v>12211659207846.695</v>
      </c>
      <c r="GE26" s="218">
        <f t="shared" si="30"/>
        <v>13589072615130.285</v>
      </c>
      <c r="GF26" s="218">
        <f t="shared" si="31"/>
        <v>722243582772.54993</v>
      </c>
      <c r="GG26" s="218">
        <f t="shared" si="32"/>
        <v>655169824511.04041</v>
      </c>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188">
        <f t="shared" si="4"/>
        <v>1970</v>
      </c>
    </row>
    <row r="27" spans="1:221" x14ac:dyDescent="0.3">
      <c r="A27" s="184">
        <v>1971</v>
      </c>
      <c r="B27" s="207">
        <v>3775760.03</v>
      </c>
      <c r="C27" s="207">
        <v>931191.93699999992</v>
      </c>
      <c r="D27" s="207">
        <f t="shared" si="1"/>
        <v>2844568.0929999999</v>
      </c>
      <c r="H27" s="207">
        <f t="shared" si="5"/>
        <v>3775760030</v>
      </c>
      <c r="L27" s="187">
        <f t="shared" si="6"/>
        <v>3775760030</v>
      </c>
      <c r="M27" s="184">
        <v>5080.8626240557669</v>
      </c>
      <c r="N27" s="184">
        <v>3512.8741893251022</v>
      </c>
      <c r="O27" s="184">
        <v>1567.9884347306638</v>
      </c>
      <c r="P27" s="184">
        <v>2429.0171896242091</v>
      </c>
      <c r="Q27" s="184">
        <v>884.97539487941071</v>
      </c>
      <c r="R27" s="184">
        <v>1459.245332820771</v>
      </c>
      <c r="S27" s="184">
        <v>24.891326960316174</v>
      </c>
      <c r="T27" s="184">
        <v>276.42501925531474</v>
      </c>
      <c r="U27" s="184">
        <v>0</v>
      </c>
      <c r="V27" s="184">
        <v>0</v>
      </c>
      <c r="W27" s="184">
        <v>6.3083605157451297</v>
      </c>
      <c r="Z27" s="184">
        <v>4.2137199560476519</v>
      </c>
      <c r="AA27" s="184">
        <v>1.2471406268081666</v>
      </c>
      <c r="AB27" s="184">
        <f>Z27*conversions!$C$6/conversions!$C$8</f>
        <v>15.440050560388418</v>
      </c>
      <c r="AC27" s="184">
        <f>AA27*conversions!$C$6/conversions!$C$8</f>
        <v>4.5698134984495002</v>
      </c>
      <c r="AD27" s="184">
        <f t="shared" si="7"/>
        <v>20.00986405883792</v>
      </c>
      <c r="AE27" s="212">
        <f t="shared" si="43"/>
        <v>4798.1292442847071</v>
      </c>
      <c r="AF27" s="212">
        <f t="shared" si="44"/>
        <v>4.1703470332052177</v>
      </c>
      <c r="AG27" s="184">
        <f>M27*conversions!$C$1*1000000/data!L27</f>
        <v>15699.28442035654</v>
      </c>
      <c r="AH27" s="184">
        <f>N27*conversions!$C$1*1000/C27</f>
        <v>44011.906225078128</v>
      </c>
      <c r="AI27" s="184">
        <f>O27*conversions!$C$1*1000/D27</f>
        <v>6430.9230108456659</v>
      </c>
      <c r="AK27" s="192">
        <f t="shared" si="45"/>
        <v>15699.28442035654</v>
      </c>
      <c r="AL27" s="192">
        <f t="shared" si="46"/>
        <v>59276730613983.945</v>
      </c>
      <c r="AM27" s="192">
        <f>data!AL27/(1000000*conversions!$C$1)</f>
        <v>5080.8626240557669</v>
      </c>
      <c r="AN27" s="192">
        <f t="shared" si="47"/>
        <v>5080.8626240557669</v>
      </c>
      <c r="AQ27" s="322">
        <v>9.9999999999999998E-13</v>
      </c>
      <c r="AR27" s="212">
        <f t="shared" si="58"/>
        <v>10.651306172794364</v>
      </c>
      <c r="AT27" s="212">
        <f t="shared" si="48"/>
        <v>1.2415924189482456E-3</v>
      </c>
      <c r="BR27" s="212" t="str">
        <f t="shared" si="49"/>
        <v/>
      </c>
      <c r="CD27" s="173">
        <f t="shared" si="3"/>
        <v>1971</v>
      </c>
      <c r="CE27" s="173">
        <f t="shared" si="50"/>
        <v>2429.0171896242091</v>
      </c>
      <c r="CF27" s="173">
        <f t="shared" si="51"/>
        <v>884.97539487941071</v>
      </c>
      <c r="CG27" s="173">
        <f t="shared" si="52"/>
        <v>1459.245332820771</v>
      </c>
      <c r="CH27" s="173">
        <f t="shared" si="53"/>
        <v>24.891326960316174</v>
      </c>
      <c r="CI27" s="173"/>
      <c r="CJ27" s="173">
        <f t="shared" si="54"/>
        <v>276.42501925531474</v>
      </c>
      <c r="CK27" s="173">
        <f t="shared" si="55"/>
        <v>6.3083605157451297</v>
      </c>
      <c r="CL27" s="173">
        <v>0</v>
      </c>
      <c r="CM27" s="173"/>
      <c r="CN27" s="173"/>
      <c r="CO27" s="173"/>
      <c r="CP27" s="174"/>
      <c r="CQ27" s="174"/>
      <c r="CR27" s="174"/>
      <c r="CT27" s="190">
        <f t="shared" si="56"/>
        <v>5.2995592674987666</v>
      </c>
      <c r="CU27" s="190">
        <f t="shared" si="57"/>
        <v>20.00986405883792</v>
      </c>
      <c r="CV27" s="198">
        <f t="shared" si="59"/>
        <v>866.56052551854521</v>
      </c>
      <c r="CW27" s="198">
        <f t="shared" si="60"/>
        <v>866.56052551854521</v>
      </c>
      <c r="CX27" s="198">
        <v>866.56052551854521</v>
      </c>
      <c r="CY27" s="198">
        <f t="shared" si="61"/>
        <v>0</v>
      </c>
      <c r="CZ27" s="199">
        <f>IF(CX27&lt;intermediates!$B$55,intermediates!$B$56+(CX27-intermediates!$B$55)*intermediates!$B$53,intermediates!$B$56+(data!CX27-intermediates!$B$55)*intermediates!$B$58)</f>
        <v>0.44032710789968954</v>
      </c>
      <c r="DA27" s="220">
        <v>1390565.64</v>
      </c>
      <c r="DB27" s="220">
        <v>3190692.1867</v>
      </c>
      <c r="DD27" s="209">
        <f t="shared" si="33"/>
        <v>-2.4966315514639535E-3</v>
      </c>
      <c r="DE27" s="209">
        <f t="shared" si="34"/>
        <v>5.7206956210190231E-3</v>
      </c>
      <c r="DF27" s="209"/>
      <c r="DG27" s="201">
        <f t="shared" si="8"/>
        <v>13905656399999.998</v>
      </c>
      <c r="DH27" s="201">
        <f t="shared" si="8"/>
        <v>31906921867000</v>
      </c>
      <c r="DJ27" s="220">
        <v>5135610735062720</v>
      </c>
      <c r="DK27" s="220">
        <v>660575106542955</v>
      </c>
      <c r="DL27" s="220">
        <v>5796185841605680</v>
      </c>
      <c r="DM27" s="220">
        <v>1536602528838310</v>
      </c>
      <c r="DN27" s="220">
        <v>81998023976577.797</v>
      </c>
      <c r="DO27" s="220">
        <v>1618600552814890</v>
      </c>
      <c r="DP27" s="220">
        <v>2726178412104360</v>
      </c>
      <c r="DQ27" s="220">
        <v>517366243099905</v>
      </c>
      <c r="DR27" s="220">
        <v>3243544655204270</v>
      </c>
      <c r="DS27" s="220">
        <v>146496815399858</v>
      </c>
      <c r="DT27" s="220">
        <v>55878910784818.297</v>
      </c>
      <c r="DU27" s="220">
        <v>202375726184676</v>
      </c>
      <c r="DV27" s="220">
        <v>760360254783250</v>
      </c>
      <c r="DW27" s="220">
        <v>1162232978170.8701</v>
      </c>
      <c r="DX27" s="220">
        <v>761522487761421</v>
      </c>
      <c r="DY27" s="220">
        <v>260885845016429</v>
      </c>
      <c r="DZ27" s="220">
        <v>1559312881686.1001</v>
      </c>
      <c r="EA27" s="220">
        <v>262445157898116</v>
      </c>
      <c r="EB27" s="220">
        <v>215644916432598</v>
      </c>
      <c r="EC27" s="220">
        <v>7052097449931.1104</v>
      </c>
      <c r="ED27" s="220">
        <v>222697013882529</v>
      </c>
      <c r="EE27" s="212">
        <f t="shared" si="9"/>
        <v>2353.5456814739391</v>
      </c>
      <c r="EG27" s="212">
        <f t="shared" si="10"/>
        <v>0.15950643450207799</v>
      </c>
      <c r="EI27" s="212">
        <f t="shared" si="35"/>
        <v>0.15950643450207799</v>
      </c>
      <c r="EJ27" s="212">
        <v>0.32872306207783852</v>
      </c>
      <c r="EK27" s="212">
        <v>6.3956639566395662E-2</v>
      </c>
      <c r="EL27" s="212">
        <v>5.3768844221105526E-2</v>
      </c>
      <c r="EM27" s="212">
        <v>0.32634338138925295</v>
      </c>
      <c r="EN27" s="212">
        <f t="shared" si="11"/>
        <v>1978.1400013842642</v>
      </c>
      <c r="EP27" s="212">
        <f t="shared" si="12"/>
        <v>375.40568008967136</v>
      </c>
      <c r="ER27" s="215">
        <f t="shared" si="13"/>
        <v>369.31810964800775</v>
      </c>
      <c r="ES27" s="209">
        <f t="shared" si="42"/>
        <v>22.376586742066479</v>
      </c>
      <c r="EU27" s="215">
        <f t="shared" si="14"/>
        <v>369.31810964800775</v>
      </c>
      <c r="EV27" s="216">
        <f>data!EU27*conversions!$C$13</f>
        <v>0.42951696152063301</v>
      </c>
      <c r="EW27" s="217">
        <f t="shared" si="15"/>
        <v>4.8301732158787004E-2</v>
      </c>
      <c r="EX27" s="217"/>
      <c r="EZ27" s="217">
        <f t="shared" si="36"/>
        <v>4.8301732158787004E-2</v>
      </c>
      <c r="FA27" s="212">
        <f t="shared" si="16"/>
        <v>2.3261586965938594</v>
      </c>
      <c r="FD27" s="212">
        <f t="shared" si="37"/>
        <v>2.3261586965938594</v>
      </c>
      <c r="FE27" s="184">
        <f t="shared" si="17"/>
        <v>0.78320578231820248</v>
      </c>
      <c r="FG27" s="184">
        <f t="shared" si="38"/>
        <v>0.78320578231820248</v>
      </c>
      <c r="FH27" s="184">
        <f t="shared" si="18"/>
        <v>5.0799380730954656E-2</v>
      </c>
      <c r="FJ27" s="184">
        <f t="shared" si="39"/>
        <v>5.0799380730954656E-2</v>
      </c>
      <c r="FK27" s="184">
        <f t="shared" si="19"/>
        <v>4.1990121050318345E-2</v>
      </c>
      <c r="FM27" s="184">
        <f t="shared" si="40"/>
        <v>4.1990121050318345E-2</v>
      </c>
      <c r="FN27" s="218"/>
      <c r="FO27" s="218">
        <f t="shared" si="20"/>
        <v>517366243099904.94</v>
      </c>
      <c r="FP27" s="218">
        <f t="shared" si="21"/>
        <v>660575106542954.88</v>
      </c>
      <c r="FQ27" s="218">
        <f t="shared" si="22"/>
        <v>31906921866999.996</v>
      </c>
      <c r="FR27" s="218">
        <f t="shared" si="23"/>
        <v>1536602528838309.8</v>
      </c>
      <c r="FS27" s="218">
        <f t="shared" si="24"/>
        <v>4160647660367.4419</v>
      </c>
      <c r="FT27" s="218">
        <f>intermediates!$B$69*data!EU27/intermediates!$B$71</f>
        <v>0.94003786225475017</v>
      </c>
      <c r="FU27" s="218">
        <f>(Y27+W27)*conversions!$C$1*1000000</f>
        <v>73597539350.359848</v>
      </c>
      <c r="FV27" s="218">
        <f t="shared" si="41"/>
        <v>78292101100.939407</v>
      </c>
      <c r="FW27" s="221">
        <f t="shared" si="25"/>
        <v>186441646886.55981</v>
      </c>
      <c r="FX27" s="221">
        <f t="shared" si="26"/>
        <v>108149545785.62041</v>
      </c>
      <c r="FY27" s="221">
        <f>FX27*intermediates!$B$72*1000*ER27/(intermediates!$B$71*10000*1000000000)</f>
        <v>8.1331734259309485</v>
      </c>
      <c r="FZ27" s="221">
        <f t="shared" si="27"/>
        <v>2.1540493467035691</v>
      </c>
      <c r="GA27" s="218"/>
      <c r="GB27" s="218"/>
      <c r="GC27" s="218">
        <f t="shared" si="28"/>
        <v>7381653758334.9082</v>
      </c>
      <c r="GD27" s="218">
        <f t="shared" si="29"/>
        <v>11728743065588.91</v>
      </c>
      <c r="GE27" s="218">
        <f t="shared" si="30"/>
        <v>12928359061780.973</v>
      </c>
      <c r="GF27" s="218">
        <f t="shared" si="31"/>
        <v>656752634205.89941</v>
      </c>
      <c r="GG27" s="218">
        <f t="shared" si="32"/>
        <v>542863361986.16315</v>
      </c>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188">
        <f t="shared" si="4"/>
        <v>1971</v>
      </c>
    </row>
    <row r="28" spans="1:221" x14ac:dyDescent="0.3">
      <c r="A28" s="211">
        <v>1972</v>
      </c>
      <c r="B28" s="207">
        <v>3851650.588</v>
      </c>
      <c r="C28" s="207">
        <v>941590.57699999993</v>
      </c>
      <c r="D28" s="207">
        <f t="shared" si="1"/>
        <v>2910060.0109999999</v>
      </c>
      <c r="H28" s="207">
        <f t="shared" si="5"/>
        <v>3851650588</v>
      </c>
      <c r="L28" s="187">
        <f t="shared" si="6"/>
        <v>3851650588</v>
      </c>
      <c r="M28" s="184">
        <v>5354.5744171120868</v>
      </c>
      <c r="N28" s="184">
        <v>3691.9379189981473</v>
      </c>
      <c r="O28" s="184">
        <v>1662.6364981139391</v>
      </c>
      <c r="P28" s="184">
        <v>2615.1743047731638</v>
      </c>
      <c r="Q28" s="184">
        <v>933.94329274061124</v>
      </c>
      <c r="R28" s="184">
        <v>1475.6517398173416</v>
      </c>
      <c r="S28" s="184">
        <v>34.144244205572157</v>
      </c>
      <c r="T28" s="184">
        <v>288.90039279589837</v>
      </c>
      <c r="U28" s="184">
        <v>0</v>
      </c>
      <c r="V28" s="184">
        <v>0</v>
      </c>
      <c r="W28" s="184">
        <v>6.7604427794994573</v>
      </c>
      <c r="Z28" s="184">
        <v>4.4095791903626402</v>
      </c>
      <c r="AA28" s="184">
        <v>1.2166603054695131</v>
      </c>
      <c r="AB28" s="184">
        <f>Z28*conversions!$C$6/conversions!$C$8</f>
        <v>16.157724376419342</v>
      </c>
      <c r="AC28" s="184">
        <f>AA28*conversions!$C$6/conversions!$C$8</f>
        <v>4.4581265075069121</v>
      </c>
      <c r="AD28" s="184">
        <f t="shared" si="7"/>
        <v>20.615850883926253</v>
      </c>
      <c r="AE28" s="212">
        <f t="shared" si="43"/>
        <v>5058.913581536689</v>
      </c>
      <c r="AF28" s="212">
        <f t="shared" si="44"/>
        <v>4.075153795701727</v>
      </c>
      <c r="AG28" s="184">
        <f>M28*conversions!$C$1*1000000/data!L28</f>
        <v>16219.029592387231</v>
      </c>
      <c r="AH28" s="184">
        <f>N28*conversions!$C$1*1000/C28</f>
        <v>45744.520078155358</v>
      </c>
      <c r="AI28" s="184">
        <f>O28*conversions!$C$1*1000/D28</f>
        <v>6665.6446045810717</v>
      </c>
      <c r="AK28" s="192">
        <f t="shared" si="45"/>
        <v>16219.029592387231</v>
      </c>
      <c r="AL28" s="192">
        <f t="shared" si="46"/>
        <v>62470034866307.68</v>
      </c>
      <c r="AM28" s="192">
        <f>data!AL28/(1000000*conversions!$C$1)</f>
        <v>5354.5744171120868</v>
      </c>
      <c r="AN28" s="192">
        <f t="shared" si="47"/>
        <v>5354.5744171120868</v>
      </c>
      <c r="AQ28" s="322">
        <v>9.9999999999999998E-13</v>
      </c>
      <c r="AR28" s="212">
        <f t="shared" si="58"/>
        <v>12.475373540583632</v>
      </c>
      <c r="AT28" s="212">
        <f t="shared" si="48"/>
        <v>1.2625546407375556E-3</v>
      </c>
      <c r="BR28" s="212" t="str">
        <f t="shared" si="49"/>
        <v/>
      </c>
      <c r="CD28" s="173">
        <f t="shared" si="3"/>
        <v>1972</v>
      </c>
      <c r="CE28" s="173">
        <f t="shared" si="50"/>
        <v>2615.1743047731638</v>
      </c>
      <c r="CF28" s="173">
        <f t="shared" si="51"/>
        <v>933.94329274061124</v>
      </c>
      <c r="CG28" s="173">
        <f t="shared" si="52"/>
        <v>1475.6517398173416</v>
      </c>
      <c r="CH28" s="173">
        <f t="shared" si="53"/>
        <v>34.144244205572157</v>
      </c>
      <c r="CI28" s="173"/>
      <c r="CJ28" s="173">
        <f t="shared" si="54"/>
        <v>288.90039279589837</v>
      </c>
      <c r="CK28" s="173">
        <f t="shared" si="55"/>
        <v>6.7604427794994573</v>
      </c>
      <c r="CL28" s="173">
        <v>0</v>
      </c>
      <c r="CM28" s="173"/>
      <c r="CN28" s="173"/>
      <c r="CO28" s="173"/>
      <c r="CP28" s="174"/>
      <c r="CQ28" s="174"/>
      <c r="CR28" s="174"/>
      <c r="CT28" s="190">
        <f t="shared" si="56"/>
        <v>5.3524717294335877</v>
      </c>
      <c r="CU28" s="190">
        <f t="shared" si="57"/>
        <v>20.615850883926253</v>
      </c>
      <c r="CV28" s="198">
        <f t="shared" si="59"/>
        <v>887.17637640247153</v>
      </c>
      <c r="CW28" s="198">
        <f t="shared" si="60"/>
        <v>887.17637640247153</v>
      </c>
      <c r="CX28" s="198">
        <v>887.17637640247153</v>
      </c>
      <c r="CY28" s="198">
        <f t="shared" si="61"/>
        <v>0</v>
      </c>
      <c r="CZ28" s="199">
        <f>IF(CX28&lt;intermediates!$B$55,intermediates!$B$56+(CX28-intermediates!$B$55)*intermediates!$B$53,intermediates!$B$56+(data!CX28-intermediates!$B$55)*intermediates!$B$58)</f>
        <v>0.45153800137833122</v>
      </c>
      <c r="DA28" s="220">
        <v>1390649.63</v>
      </c>
      <c r="DB28" s="220">
        <v>3201109.72</v>
      </c>
      <c r="DD28" s="209">
        <f t="shared" si="33"/>
        <v>5.3793648191916149E-5</v>
      </c>
      <c r="DE28" s="209">
        <f t="shared" si="34"/>
        <v>3.1892788628463532E-3</v>
      </c>
      <c r="DF28" s="209"/>
      <c r="DG28" s="201">
        <f t="shared" si="8"/>
        <v>13906496299999.998</v>
      </c>
      <c r="DH28" s="201">
        <f t="shared" si="8"/>
        <v>32011097200000.004</v>
      </c>
      <c r="DJ28" s="220">
        <v>4995202988842870</v>
      </c>
      <c r="DK28" s="220">
        <v>672201455047276</v>
      </c>
      <c r="DL28" s="220">
        <v>5667404443890140</v>
      </c>
      <c r="DM28" s="220">
        <v>1592497444677490</v>
      </c>
      <c r="DN28" s="220">
        <v>84414830584975.5</v>
      </c>
      <c r="DO28" s="220">
        <v>1676912275262470</v>
      </c>
      <c r="DP28" s="220">
        <v>2758109349428470</v>
      </c>
      <c r="DQ28" s="220">
        <v>531343433191717</v>
      </c>
      <c r="DR28" s="220">
        <v>3289452782620190</v>
      </c>
      <c r="DS28" s="220">
        <v>147168413283068</v>
      </c>
      <c r="DT28" s="220">
        <v>58430494795577</v>
      </c>
      <c r="DU28" s="220">
        <v>205598908078645</v>
      </c>
      <c r="DV28" s="220">
        <v>763557770997650</v>
      </c>
      <c r="DW28" s="220">
        <v>1433881422006.3701</v>
      </c>
      <c r="DX28" s="220">
        <v>764991652419656</v>
      </c>
      <c r="DY28" s="220">
        <v>262858957651836</v>
      </c>
      <c r="DZ28" s="220">
        <v>1583965048048.99</v>
      </c>
      <c r="EA28" s="220">
        <v>264442922699885</v>
      </c>
      <c r="EB28" s="220">
        <v>222211185169997</v>
      </c>
      <c r="EC28" s="220">
        <v>7394492413828.1201</v>
      </c>
      <c r="ED28" s="220">
        <v>229605677583825</v>
      </c>
      <c r="EE28" s="212">
        <f t="shared" si="9"/>
        <v>2339.8278734101195</v>
      </c>
      <c r="EG28" s="212">
        <f t="shared" si="10"/>
        <v>0.16152943006176218</v>
      </c>
      <c r="EI28" s="212">
        <f t="shared" si="35"/>
        <v>0.16152943006176218</v>
      </c>
      <c r="EJ28" s="212">
        <v>0.33693923003499843</v>
      </c>
      <c r="EK28" s="212">
        <v>7.0021881838074396E-2</v>
      </c>
      <c r="EL28" s="212">
        <v>5.3400503778337528E-2</v>
      </c>
      <c r="EM28" s="212">
        <v>0.3239712606139778</v>
      </c>
      <c r="EN28" s="212">
        <f t="shared" si="11"/>
        <v>1961.8768105755557</v>
      </c>
      <c r="EP28" s="212">
        <f t="shared" si="12"/>
        <v>377.95106283456164</v>
      </c>
      <c r="ER28" s="215">
        <f t="shared" si="13"/>
        <v>359.19924624312961</v>
      </c>
      <c r="ES28" s="209">
        <f t="shared" si="42"/>
        <v>-10.118863404878141</v>
      </c>
      <c r="EU28" s="215">
        <f t="shared" si="14"/>
        <v>359.19924624312961</v>
      </c>
      <c r="EV28" s="216">
        <f>data!EU28*conversions!$C$13</f>
        <v>0.41774872338075975</v>
      </c>
      <c r="EW28" s="217">
        <f t="shared" si="15"/>
        <v>4.7621285196040912E-2</v>
      </c>
      <c r="EX28" s="217"/>
      <c r="EZ28" s="217">
        <f t="shared" si="36"/>
        <v>4.7621285196040912E-2</v>
      </c>
      <c r="FA28" s="212">
        <f t="shared" si="16"/>
        <v>2.3690776518261023</v>
      </c>
      <c r="FD28" s="212">
        <f t="shared" si="37"/>
        <v>2.3690776518261023</v>
      </c>
      <c r="FE28" s="184">
        <f t="shared" si="17"/>
        <v>0.79045266742891473</v>
      </c>
      <c r="FG28" s="184">
        <f t="shared" si="38"/>
        <v>0.79045266742891473</v>
      </c>
      <c r="FH28" s="184">
        <f t="shared" si="18"/>
        <v>5.2622277460785793E-2</v>
      </c>
      <c r="FJ28" s="184">
        <f t="shared" si="39"/>
        <v>5.2622277460785793E-2</v>
      </c>
      <c r="FK28" s="184">
        <f t="shared" si="19"/>
        <v>4.448491596163779E-2</v>
      </c>
      <c r="FM28" s="184">
        <f t="shared" si="40"/>
        <v>4.448491596163779E-2</v>
      </c>
      <c r="FN28" s="218"/>
      <c r="FO28" s="218">
        <f t="shared" si="20"/>
        <v>531343433191717</v>
      </c>
      <c r="FP28" s="218">
        <f t="shared" si="21"/>
        <v>672201455047276</v>
      </c>
      <c r="FQ28" s="218">
        <f t="shared" si="22"/>
        <v>32011097200000.004</v>
      </c>
      <c r="FR28" s="218">
        <f t="shared" si="23"/>
        <v>1592497444677490</v>
      </c>
      <c r="FS28" s="218">
        <f t="shared" si="24"/>
        <v>4433465441070.5059</v>
      </c>
      <c r="FT28" s="218">
        <f>intermediates!$B$69*data!EU28/intermediates!$B$71</f>
        <v>0.91428197735477779</v>
      </c>
      <c r="FU28" s="218">
        <f>(Y28+W28)*conversions!$C$1*1000000</f>
        <v>78871832427.493668</v>
      </c>
      <c r="FV28" s="218">
        <f t="shared" si="41"/>
        <v>86266419311.56459</v>
      </c>
      <c r="FW28" s="221">
        <f t="shared" si="25"/>
        <v>187296367277.91733</v>
      </c>
      <c r="FX28" s="221">
        <f t="shared" si="26"/>
        <v>101029947966.35274</v>
      </c>
      <c r="FY28" s="221">
        <f>FX28*intermediates!$B$72*1000*ER28/(intermediates!$B$71*10000*1000000000)</f>
        <v>7.3895888478981844</v>
      </c>
      <c r="FZ28" s="221">
        <f t="shared" si="27"/>
        <v>1.918551197484216</v>
      </c>
      <c r="GA28" s="218"/>
      <c r="GB28" s="218"/>
      <c r="GC28" s="218">
        <f t="shared" si="28"/>
        <v>7678494257088.7266</v>
      </c>
      <c r="GD28" s="218">
        <f t="shared" si="29"/>
        <v>12299256065437.148</v>
      </c>
      <c r="GE28" s="218">
        <f t="shared" si="30"/>
        <v>13622055659140.307</v>
      </c>
      <c r="GF28" s="218">
        <f t="shared" si="31"/>
        <v>716823592481.54858</v>
      </c>
      <c r="GG28" s="218">
        <f t="shared" si="32"/>
        <v>605976001221.60901</v>
      </c>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188">
        <f t="shared" si="4"/>
        <v>1972</v>
      </c>
    </row>
    <row r="29" spans="1:221" x14ac:dyDescent="0.3">
      <c r="A29" s="184">
        <v>1973</v>
      </c>
      <c r="B29" s="207">
        <v>3927780.5189999999</v>
      </c>
      <c r="C29" s="207">
        <v>951943.90600000019</v>
      </c>
      <c r="D29" s="207">
        <f t="shared" si="1"/>
        <v>2975836.6129999999</v>
      </c>
      <c r="H29" s="207">
        <f t="shared" si="5"/>
        <v>3927780519</v>
      </c>
      <c r="L29" s="187">
        <f t="shared" si="6"/>
        <v>3927780519</v>
      </c>
      <c r="M29" s="184">
        <v>5662.7400972923933</v>
      </c>
      <c r="N29" s="184">
        <v>3898.0580047122166</v>
      </c>
      <c r="O29" s="184">
        <v>1764.6820925801767</v>
      </c>
      <c r="P29" s="184">
        <v>2819.2379779528715</v>
      </c>
      <c r="Q29" s="184">
        <v>978.25607792007804</v>
      </c>
      <c r="R29" s="184">
        <v>1519.6125460966664</v>
      </c>
      <c r="S29" s="184">
        <v>45.855884225770239</v>
      </c>
      <c r="T29" s="184">
        <v>292.5175930356732</v>
      </c>
      <c r="U29" s="184">
        <v>0</v>
      </c>
      <c r="V29" s="184">
        <v>0</v>
      </c>
      <c r="W29" s="184">
        <v>7.2600180613333736</v>
      </c>
      <c r="Z29" s="184">
        <v>4.643900982190476</v>
      </c>
      <c r="AA29" s="184">
        <v>1.193009380886078</v>
      </c>
      <c r="AB29" s="184">
        <f>Z29*conversions!$C$6/conversions!$C$8</f>
        <v>17.016333954407557</v>
      </c>
      <c r="AC29" s="184">
        <f>AA29*conversions!$C$6/conversions!$C$8</f>
        <v>4.3714640156524007</v>
      </c>
      <c r="AD29" s="184">
        <f t="shared" si="7"/>
        <v>21.387797970059957</v>
      </c>
      <c r="AE29" s="212">
        <f t="shared" si="43"/>
        <v>5362.9624861953853</v>
      </c>
      <c r="AF29" s="212">
        <f t="shared" si="44"/>
        <v>3.9880566058616935</v>
      </c>
      <c r="AG29" s="184">
        <f>M29*conversions!$C$1*1000000/data!L29</f>
        <v>16820.008352171859</v>
      </c>
      <c r="AH29" s="184">
        <f>N29*conversions!$C$1*1000/C29</f>
        <v>47773.133586622469</v>
      </c>
      <c r="AI29" s="184">
        <f>O29*conversions!$C$1*1000/D29</f>
        <v>6918.3763842510152</v>
      </c>
      <c r="AK29" s="192">
        <f t="shared" si="45"/>
        <v>16820.008352171859</v>
      </c>
      <c r="AL29" s="192">
        <f t="shared" si="46"/>
        <v>66065301135077.922</v>
      </c>
      <c r="AM29" s="192">
        <f>data!AL29/(1000000*conversions!$C$1)</f>
        <v>5662.7400972923933</v>
      </c>
      <c r="AN29" s="192">
        <f t="shared" si="47"/>
        <v>5662.7400972923933</v>
      </c>
      <c r="AQ29" s="322">
        <v>9.9999999999999998E-13</v>
      </c>
      <c r="AR29" s="212">
        <f t="shared" si="58"/>
        <v>3.6172002397748315</v>
      </c>
      <c r="AT29" s="212">
        <f t="shared" si="48"/>
        <v>1.2820680336017381E-3</v>
      </c>
      <c r="BR29" s="212" t="str">
        <f t="shared" si="49"/>
        <v/>
      </c>
      <c r="CD29" s="173">
        <f t="shared" si="3"/>
        <v>1973</v>
      </c>
      <c r="CE29" s="173">
        <f t="shared" si="50"/>
        <v>2819.2379779528715</v>
      </c>
      <c r="CF29" s="173">
        <f t="shared" si="51"/>
        <v>978.25607792007804</v>
      </c>
      <c r="CG29" s="173">
        <f t="shared" si="52"/>
        <v>1519.6125460966664</v>
      </c>
      <c r="CH29" s="173">
        <f t="shared" si="53"/>
        <v>45.855884225770239</v>
      </c>
      <c r="CI29" s="173"/>
      <c r="CJ29" s="173">
        <f t="shared" si="54"/>
        <v>292.5175930356732</v>
      </c>
      <c r="CK29" s="173">
        <f t="shared" si="55"/>
        <v>7.2600180613333736</v>
      </c>
      <c r="CL29" s="173">
        <v>0</v>
      </c>
      <c r="CM29" s="173"/>
      <c r="CN29" s="173"/>
      <c r="CO29" s="173"/>
      <c r="CP29" s="174"/>
      <c r="CQ29" s="174"/>
      <c r="CR29" s="174"/>
      <c r="CT29" s="190">
        <f t="shared" si="56"/>
        <v>5.4452630096310015</v>
      </c>
      <c r="CU29" s="190">
        <f t="shared" si="57"/>
        <v>21.387797970059957</v>
      </c>
      <c r="CV29" s="198">
        <f t="shared" si="59"/>
        <v>908.56417437253151</v>
      </c>
      <c r="CW29" s="198">
        <f t="shared" si="60"/>
        <v>908.56417437253151</v>
      </c>
      <c r="CX29" s="198">
        <v>908.56417437253151</v>
      </c>
      <c r="CY29" s="198">
        <f t="shared" si="61"/>
        <v>0</v>
      </c>
      <c r="CZ29" s="199">
        <f>IF(CX29&lt;intermediates!$B$55,intermediates!$B$56+(CX29-intermediates!$B$55)*intermediates!$B$53,intermediates!$B$56+(data!CX29-intermediates!$B$55)*intermediates!$B$58)</f>
        <v>0.46316867944905771</v>
      </c>
      <c r="DA29" s="220">
        <v>1397659.49</v>
      </c>
      <c r="DB29" s="220">
        <v>3211149.62</v>
      </c>
      <c r="DD29" s="209">
        <f t="shared" si="33"/>
        <v>4.4896528481323094E-3</v>
      </c>
      <c r="DE29" s="209">
        <f t="shared" si="34"/>
        <v>3.0736682027299165E-3</v>
      </c>
      <c r="DF29" s="209"/>
      <c r="DG29" s="201">
        <f t="shared" si="8"/>
        <v>13976594900000</v>
      </c>
      <c r="DH29" s="201">
        <f t="shared" si="8"/>
        <v>32111496200000</v>
      </c>
      <c r="DJ29" s="220">
        <v>5420827595143830</v>
      </c>
      <c r="DK29" s="220">
        <v>677487711899094</v>
      </c>
      <c r="DL29" s="220">
        <v>6098315307042920</v>
      </c>
      <c r="DM29" s="220">
        <v>1638756942875950</v>
      </c>
      <c r="DN29" s="220">
        <v>81183346436436</v>
      </c>
      <c r="DO29" s="220">
        <v>1719940289312390</v>
      </c>
      <c r="DP29" s="220">
        <v>2872750085759560</v>
      </c>
      <c r="DQ29" s="220">
        <v>535553221776273</v>
      </c>
      <c r="DR29" s="220">
        <v>3408303307535830</v>
      </c>
      <c r="DS29" s="220">
        <v>145774510472614</v>
      </c>
      <c r="DT29" s="220">
        <v>60571581263393.297</v>
      </c>
      <c r="DU29" s="220">
        <v>206346091736008</v>
      </c>
      <c r="DV29" s="220">
        <v>806832127510692</v>
      </c>
      <c r="DW29" s="220">
        <v>1530337030146.4199</v>
      </c>
      <c r="DX29" s="220">
        <v>808362464540839</v>
      </c>
      <c r="DY29" s="220">
        <v>265416321821420</v>
      </c>
      <c r="DZ29" s="220">
        <v>1692767600664.5901</v>
      </c>
      <c r="EA29" s="220">
        <v>267109089422085</v>
      </c>
      <c r="EB29" s="220">
        <v>254061772961554</v>
      </c>
      <c r="EC29" s="220">
        <v>7494796415065.6602</v>
      </c>
      <c r="ED29" s="220">
        <v>261556569376620</v>
      </c>
      <c r="EE29" s="212">
        <f t="shared" si="9"/>
        <v>2377.3775636774785</v>
      </c>
      <c r="EG29" s="212">
        <f t="shared" si="10"/>
        <v>0.15713191387402453</v>
      </c>
      <c r="EI29" s="212">
        <f t="shared" si="35"/>
        <v>0.15713191387402453</v>
      </c>
      <c r="EJ29" s="212">
        <v>0.32733017377567142</v>
      </c>
      <c r="EK29" s="212">
        <v>6.5893516078017925E-2</v>
      </c>
      <c r="EL29" s="212">
        <v>5.1808406647116327E-2</v>
      </c>
      <c r="EM29" s="212">
        <v>0.30855263157894736</v>
      </c>
      <c r="EN29" s="212">
        <f t="shared" si="11"/>
        <v>2003.8156770956728</v>
      </c>
      <c r="EP29" s="212">
        <f t="shared" si="12"/>
        <v>373.56188658180781</v>
      </c>
      <c r="ER29" s="215">
        <f t="shared" si="13"/>
        <v>387.8503765708935</v>
      </c>
      <c r="ES29" s="209">
        <f t="shared" si="42"/>
        <v>28.651130327763894</v>
      </c>
      <c r="EU29" s="215">
        <f t="shared" si="14"/>
        <v>387.8503765708935</v>
      </c>
      <c r="EV29" s="216">
        <f>data!EU29*conversions!$C$13</f>
        <v>0.45106998795194914</v>
      </c>
      <c r="EW29" s="217">
        <f t="shared" si="15"/>
        <v>4.739790203719995E-2</v>
      </c>
      <c r="EX29" s="217"/>
      <c r="EZ29" s="217">
        <f t="shared" si="36"/>
        <v>4.739790203719995E-2</v>
      </c>
      <c r="FA29" s="212">
        <f t="shared" si="16"/>
        <v>2.4188733080962934</v>
      </c>
      <c r="FD29" s="212">
        <f t="shared" si="37"/>
        <v>2.4188733080962934</v>
      </c>
      <c r="FE29" s="184">
        <f t="shared" si="17"/>
        <v>0.7904987977937511</v>
      </c>
      <c r="FG29" s="184">
        <f t="shared" si="38"/>
        <v>0.7904987977937511</v>
      </c>
      <c r="FH29" s="184">
        <f t="shared" si="18"/>
        <v>4.8962324878066475E-2</v>
      </c>
      <c r="FJ29" s="184">
        <f t="shared" si="39"/>
        <v>4.8962324878066475E-2</v>
      </c>
      <c r="FK29" s="184">
        <f t="shared" si="19"/>
        <v>4.6867709496821404E-2</v>
      </c>
      <c r="FM29" s="184">
        <f t="shared" si="40"/>
        <v>4.6867709496821404E-2</v>
      </c>
      <c r="FN29" s="218"/>
      <c r="FO29" s="218">
        <f t="shared" si="20"/>
        <v>535553221776272.94</v>
      </c>
      <c r="FP29" s="218">
        <f t="shared" si="21"/>
        <v>677487711899093.88</v>
      </c>
      <c r="FQ29" s="218">
        <f t="shared" si="22"/>
        <v>32111496199999.996</v>
      </c>
      <c r="FR29" s="218">
        <f t="shared" si="23"/>
        <v>1638756942875949.8</v>
      </c>
      <c r="FS29" s="218">
        <f t="shared" si="24"/>
        <v>4225229732570.3599</v>
      </c>
      <c r="FT29" s="218">
        <f>intermediates!$B$69*data!EU29/intermediates!$B$71</f>
        <v>0.98720866738404012</v>
      </c>
      <c r="FU29" s="218">
        <f>(Y29+W29)*conversions!$C$1*1000000</f>
        <v>84700210715.556015</v>
      </c>
      <c r="FV29" s="218">
        <f t="shared" si="41"/>
        <v>85797677344.141739</v>
      </c>
      <c r="FW29" s="221">
        <f t="shared" si="25"/>
        <v>185522393319.01926</v>
      </c>
      <c r="FX29" s="221">
        <f t="shared" si="26"/>
        <v>99724715974.877518</v>
      </c>
      <c r="FY29" s="221">
        <f>FX29*intermediates!$B$72*1000*ER29/(intermediates!$B$71*10000*1000000000)</f>
        <v>7.8759283170248588</v>
      </c>
      <c r="FZ29" s="221">
        <f t="shared" si="27"/>
        <v>2.0051854422431026</v>
      </c>
      <c r="GA29" s="218"/>
      <c r="GB29" s="218"/>
      <c r="GC29" s="218">
        <f t="shared" si="28"/>
        <v>7406851351179.3955</v>
      </c>
      <c r="GD29" s="218">
        <f t="shared" si="29"/>
        <v>11817603477068.775</v>
      </c>
      <c r="GE29" s="218">
        <f t="shared" si="30"/>
        <v>13070112839789.463</v>
      </c>
      <c r="GF29" s="218">
        <f t="shared" si="31"/>
        <v>639943111054.75964</v>
      </c>
      <c r="GG29" s="218">
        <f t="shared" si="32"/>
        <v>612566251665.92798</v>
      </c>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188">
        <f t="shared" si="4"/>
        <v>1973</v>
      </c>
    </row>
    <row r="30" spans="1:221" x14ac:dyDescent="0.3">
      <c r="A30" s="211">
        <v>1974</v>
      </c>
      <c r="B30" s="207">
        <v>4003794.1779999998</v>
      </c>
      <c r="C30" s="207">
        <v>962122.44899999991</v>
      </c>
      <c r="D30" s="207">
        <f t="shared" si="1"/>
        <v>3041671.7289999998</v>
      </c>
      <c r="H30" s="207">
        <f t="shared" si="5"/>
        <v>4003794178</v>
      </c>
      <c r="L30" s="187">
        <f t="shared" si="6"/>
        <v>4003794178</v>
      </c>
      <c r="M30" s="184">
        <v>5689.9342753815263</v>
      </c>
      <c r="N30" s="184">
        <v>3840.9377906861669</v>
      </c>
      <c r="O30" s="184">
        <v>1848.9964846953612</v>
      </c>
      <c r="P30" s="184">
        <v>2778.4739452037393</v>
      </c>
      <c r="Q30" s="184">
        <v>1002.2112280460227</v>
      </c>
      <c r="R30" s="184">
        <v>1520.8720809037932</v>
      </c>
      <c r="S30" s="184">
        <v>59.598106837556131</v>
      </c>
      <c r="T30" s="184">
        <v>321.09488181076557</v>
      </c>
      <c r="U30" s="184">
        <v>0</v>
      </c>
      <c r="V30" s="184">
        <v>0</v>
      </c>
      <c r="W30" s="184">
        <v>7.6840325796517996</v>
      </c>
      <c r="Z30" s="184">
        <v>4.6238224157374868</v>
      </c>
      <c r="AA30" s="184">
        <v>1.158836985736847</v>
      </c>
      <c r="AB30" s="184">
        <f>Z30*conversions!$C$6/conversions!$C$8</f>
        <v>16.942761414122973</v>
      </c>
      <c r="AC30" s="184">
        <f>AA30*conversions!$C$6/conversions!$C$8</f>
        <v>4.2462484070269539</v>
      </c>
      <c r="AD30" s="184">
        <f t="shared" si="7"/>
        <v>21.189009821149927</v>
      </c>
      <c r="AE30" s="212">
        <f t="shared" si="43"/>
        <v>5361.1553609911107</v>
      </c>
      <c r="AF30" s="212">
        <f t="shared" si="44"/>
        <v>3.9523215416075428</v>
      </c>
      <c r="AG30" s="184">
        <f>M30*conversions!$C$1*1000000/data!L30</f>
        <v>16579.914849488501</v>
      </c>
      <c r="AH30" s="184">
        <f>N30*conversions!$C$1*1000/C30</f>
        <v>46575.091286887342</v>
      </c>
      <c r="AI30" s="184">
        <f>O30*conversions!$C$1*1000/D30</f>
        <v>7092.0295076915627</v>
      </c>
      <c r="AK30" s="192">
        <f t="shared" si="45"/>
        <v>16579.914849488501</v>
      </c>
      <c r="AL30" s="192">
        <f t="shared" si="46"/>
        <v>66382566546117.805</v>
      </c>
      <c r="AM30" s="192">
        <f>data!AL30/(1000000*conversions!$C$1)</f>
        <v>5689.9342753815263</v>
      </c>
      <c r="AN30" s="192">
        <f t="shared" si="47"/>
        <v>5689.9342753815263</v>
      </c>
      <c r="AQ30" s="322">
        <v>9.9999999999999998E-13</v>
      </c>
      <c r="AR30" s="212">
        <f t="shared" si="58"/>
        <v>28.57728877509237</v>
      </c>
      <c r="AT30" s="212">
        <f t="shared" si="48"/>
        <v>1.3504606921204839E-3</v>
      </c>
      <c r="BR30" s="212" t="str">
        <f t="shared" si="49"/>
        <v/>
      </c>
      <c r="CD30" s="173">
        <f t="shared" si="3"/>
        <v>1974</v>
      </c>
      <c r="CE30" s="173">
        <f t="shared" si="50"/>
        <v>2778.4739452037393</v>
      </c>
      <c r="CF30" s="173">
        <f t="shared" si="51"/>
        <v>1002.2112280460227</v>
      </c>
      <c r="CG30" s="173">
        <f t="shared" si="52"/>
        <v>1520.8720809037932</v>
      </c>
      <c r="CH30" s="173">
        <f t="shared" si="53"/>
        <v>59.598106837556131</v>
      </c>
      <c r="CI30" s="173"/>
      <c r="CJ30" s="173">
        <f t="shared" si="54"/>
        <v>321.09488181076557</v>
      </c>
      <c r="CK30" s="173">
        <f t="shared" si="55"/>
        <v>7.6840325796517996</v>
      </c>
      <c r="CL30" s="173">
        <v>0</v>
      </c>
      <c r="CM30" s="173"/>
      <c r="CN30" s="173"/>
      <c r="CO30" s="173"/>
      <c r="CP30" s="174"/>
      <c r="CQ30" s="174"/>
      <c r="CR30" s="174"/>
      <c r="CT30" s="190">
        <f t="shared" si="56"/>
        <v>5.2922325372215795</v>
      </c>
      <c r="CU30" s="190">
        <f t="shared" si="57"/>
        <v>21.189009821149931</v>
      </c>
      <c r="CV30" s="198">
        <f t="shared" si="59"/>
        <v>929.75318419368136</v>
      </c>
      <c r="CW30" s="198">
        <f t="shared" si="60"/>
        <v>929.75318419368136</v>
      </c>
      <c r="CX30" s="198">
        <v>929.75318419368136</v>
      </c>
      <c r="CY30" s="198">
        <f t="shared" si="61"/>
        <v>0</v>
      </c>
      <c r="CZ30" s="199">
        <f>IF(CX30&lt;intermediates!$B$55,intermediates!$B$56+(CX30-intermediates!$B$55)*intermediates!$B$53,intermediates!$B$56+(data!CX30-intermediates!$B$55)*intermediates!$B$58)</f>
        <v>0.4746912565844994</v>
      </c>
      <c r="DA30" s="220">
        <v>1395884.67</v>
      </c>
      <c r="DB30" s="220">
        <v>3222955.32</v>
      </c>
      <c r="DD30" s="209">
        <f t="shared" si="33"/>
        <v>-1.1367310713655283E-3</v>
      </c>
      <c r="DE30" s="209">
        <f t="shared" si="34"/>
        <v>3.6142595743949694E-3</v>
      </c>
      <c r="DF30" s="209"/>
      <c r="DG30" s="201">
        <f t="shared" si="8"/>
        <v>13958846700000</v>
      </c>
      <c r="DH30" s="201">
        <f t="shared" si="8"/>
        <v>32229553200000</v>
      </c>
      <c r="DJ30" s="220">
        <v>5286979962104470</v>
      </c>
      <c r="DK30" s="220">
        <v>703185178602737</v>
      </c>
      <c r="DL30" s="220">
        <v>5990165140707210</v>
      </c>
      <c r="DM30" s="220">
        <v>1564557719322070</v>
      </c>
      <c r="DN30" s="220">
        <v>78837774966873</v>
      </c>
      <c r="DO30" s="220">
        <v>1643395494288940</v>
      </c>
      <c r="DP30" s="220">
        <v>2909023032475090</v>
      </c>
      <c r="DQ30" s="220">
        <v>552144730103516</v>
      </c>
      <c r="DR30" s="220">
        <v>3461167762578600</v>
      </c>
      <c r="DS30" s="220">
        <v>149875203356262</v>
      </c>
      <c r="DT30" s="220">
        <v>63553737736222.5</v>
      </c>
      <c r="DU30" s="220">
        <v>213428941092485</v>
      </c>
      <c r="DV30" s="220">
        <v>835722559351070</v>
      </c>
      <c r="DW30" s="220">
        <v>2162259955526.48</v>
      </c>
      <c r="DX30" s="220">
        <v>837884819306597</v>
      </c>
      <c r="DY30" s="220">
        <v>264360567621134</v>
      </c>
      <c r="DZ30" s="220">
        <v>1703312366087.5801</v>
      </c>
      <c r="EA30" s="220">
        <v>266063879987221</v>
      </c>
      <c r="EB30" s="220">
        <v>248604483639999</v>
      </c>
      <c r="EC30" s="220">
        <v>8086796908563.6396</v>
      </c>
      <c r="ED30" s="220">
        <v>256691280548562</v>
      </c>
      <c r="EE30" s="212">
        <f t="shared" si="9"/>
        <v>2368.4163028234793</v>
      </c>
      <c r="EG30" s="212">
        <f t="shared" si="10"/>
        <v>0.15952556130713624</v>
      </c>
      <c r="EI30" s="212">
        <f t="shared" si="35"/>
        <v>0.15952556130713624</v>
      </c>
      <c r="EJ30" s="212">
        <v>0.33311897106109323</v>
      </c>
      <c r="EK30" s="212">
        <v>6.6032752245113582E-2</v>
      </c>
      <c r="EL30" s="212">
        <v>5.6759545923632609E-2</v>
      </c>
      <c r="EM30" s="212">
        <v>0.31309798746288353</v>
      </c>
      <c r="EN30" s="212">
        <f t="shared" si="11"/>
        <v>1990.5933627065956</v>
      </c>
      <c r="EP30" s="212">
        <f t="shared" si="12"/>
        <v>377.82294011688788</v>
      </c>
      <c r="ER30" s="215">
        <f t="shared" si="13"/>
        <v>378.75478366736917</v>
      </c>
      <c r="ES30" s="209">
        <f t="shared" si="42"/>
        <v>-9.0955929035243344</v>
      </c>
      <c r="EU30" s="215">
        <f t="shared" si="14"/>
        <v>378.75478366736917</v>
      </c>
      <c r="EV30" s="216">
        <f>data!EU30*conversions!$C$13</f>
        <v>0.44049181340515031</v>
      </c>
      <c r="EW30" s="217">
        <f t="shared" si="15"/>
        <v>4.583366399166957E-2</v>
      </c>
      <c r="EX30" s="217"/>
      <c r="EZ30" s="217">
        <f t="shared" si="36"/>
        <v>4.583366399166957E-2</v>
      </c>
      <c r="FA30" s="212">
        <f t="shared" si="16"/>
        <v>2.2249583280906489</v>
      </c>
      <c r="FD30" s="212">
        <f t="shared" si="37"/>
        <v>2.2249583280906489</v>
      </c>
      <c r="FE30" s="184">
        <f t="shared" si="17"/>
        <v>0.78520530139820965</v>
      </c>
      <c r="FG30" s="184">
        <f t="shared" si="38"/>
        <v>0.78520530139820965</v>
      </c>
      <c r="FH30" s="184">
        <f t="shared" si="18"/>
        <v>5.0002188303340175E-2</v>
      </c>
      <c r="FJ30" s="184">
        <f t="shared" si="39"/>
        <v>5.0002188303340175E-2</v>
      </c>
      <c r="FK30" s="184">
        <f t="shared" si="19"/>
        <v>4.702202115800011E-2</v>
      </c>
      <c r="FM30" s="184">
        <f t="shared" si="40"/>
        <v>4.702202115800011E-2</v>
      </c>
      <c r="FN30" s="218"/>
      <c r="FO30" s="218">
        <f t="shared" si="20"/>
        <v>552144730103516</v>
      </c>
      <c r="FP30" s="218">
        <f t="shared" si="21"/>
        <v>703185178602737</v>
      </c>
      <c r="FQ30" s="218">
        <f t="shared" si="22"/>
        <v>32229553200000</v>
      </c>
      <c r="FR30" s="218">
        <f t="shared" si="23"/>
        <v>1564557719322070</v>
      </c>
      <c r="FS30" s="218">
        <f t="shared" si="24"/>
        <v>4130793291038.9302</v>
      </c>
      <c r="FT30" s="218">
        <f>intermediates!$B$69*data!EU30/intermediates!$B$71</f>
        <v>0.96405734746334204</v>
      </c>
      <c r="FU30" s="218">
        <f>(Y30+W30)*conversions!$C$1*1000000</f>
        <v>89647046762.604324</v>
      </c>
      <c r="FV30" s="218">
        <f t="shared" si="41"/>
        <v>92989329938.189316</v>
      </c>
      <c r="FW30" s="221">
        <f t="shared" si="25"/>
        <v>190741209390.32117</v>
      </c>
      <c r="FX30" s="221">
        <f t="shared" si="26"/>
        <v>97751879452.131851</v>
      </c>
      <c r="FY30" s="221">
        <f>FX30*intermediates!$B$72*1000*ER30/(intermediates!$B$71*10000*1000000000)</f>
        <v>7.5390734091342884</v>
      </c>
      <c r="FZ30" s="221">
        <f t="shared" si="27"/>
        <v>1.8829822598174248</v>
      </c>
      <c r="GA30" s="218"/>
      <c r="GB30" s="218"/>
      <c r="GC30" s="218">
        <f t="shared" si="28"/>
        <v>7680491858895.8555</v>
      </c>
      <c r="GD30" s="218">
        <f t="shared" si="29"/>
        <v>12002026359325.107</v>
      </c>
      <c r="GE30" s="218">
        <f t="shared" si="30"/>
        <v>13291636924358.113</v>
      </c>
      <c r="GF30" s="218">
        <f t="shared" si="31"/>
        <v>664610932351.38367</v>
      </c>
      <c r="GG30" s="218">
        <f t="shared" si="32"/>
        <v>624999632681.62268</v>
      </c>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188">
        <f t="shared" si="4"/>
        <v>1974</v>
      </c>
    </row>
    <row r="31" spans="1:221" x14ac:dyDescent="0.3">
      <c r="A31" s="184">
        <v>1975</v>
      </c>
      <c r="B31" s="207">
        <v>4079480.4739999999</v>
      </c>
      <c r="C31" s="207">
        <v>972034.80900000001</v>
      </c>
      <c r="D31" s="207">
        <f t="shared" si="1"/>
        <v>3107445.665</v>
      </c>
      <c r="H31" s="207">
        <f t="shared" si="5"/>
        <v>4079480474</v>
      </c>
      <c r="L31" s="187">
        <f t="shared" si="6"/>
        <v>4079480474</v>
      </c>
      <c r="M31" s="184">
        <v>5719.5631890511468</v>
      </c>
      <c r="N31" s="184">
        <v>3763.4946520557492</v>
      </c>
      <c r="O31" s="184">
        <v>1956.0685369953967</v>
      </c>
      <c r="P31" s="184">
        <v>2750.2634003309513</v>
      </c>
      <c r="Q31" s="184">
        <v>1002.6701381504682</v>
      </c>
      <c r="R31" s="184">
        <v>1550.4427432264877</v>
      </c>
      <c r="S31" s="184">
        <v>82.44577016646727</v>
      </c>
      <c r="T31" s="184">
        <v>325.93834072756272</v>
      </c>
      <c r="U31" s="184">
        <v>0</v>
      </c>
      <c r="V31" s="184">
        <v>0</v>
      </c>
      <c r="W31" s="184">
        <v>7.8027964492084694</v>
      </c>
      <c r="Z31" s="184">
        <v>4.6179602930924197</v>
      </c>
      <c r="AA31" s="184">
        <v>1.1360972407569885</v>
      </c>
      <c r="AB31" s="184">
        <f>Z31*conversions!$C$6/conversions!$C$8</f>
        <v>16.921281232484148</v>
      </c>
      <c r="AC31" s="184">
        <f>AA31*conversions!$C$6/conversions!$C$8</f>
        <v>4.1629246892949672</v>
      </c>
      <c r="AD31" s="184">
        <f t="shared" si="7"/>
        <v>21.084205921779116</v>
      </c>
      <c r="AE31" s="212">
        <f t="shared" si="43"/>
        <v>5385.8220518743738</v>
      </c>
      <c r="AF31" s="212">
        <f t="shared" si="44"/>
        <v>3.9147609628954214</v>
      </c>
      <c r="AG31" s="184">
        <f>M31*conversions!$C$1*1000000/data!L31</f>
        <v>16357.042920263948</v>
      </c>
      <c r="AH31" s="184">
        <f>N31*conversions!$C$1*1000/C31</f>
        <v>45170.643274069284</v>
      </c>
      <c r="AI31" s="184">
        <f>O31*conversions!$C$1*1000/D31</f>
        <v>7343.9094544166792</v>
      </c>
      <c r="AK31" s="192">
        <f t="shared" si="45"/>
        <v>16357.042920263948</v>
      </c>
      <c r="AL31" s="192">
        <f t="shared" si="46"/>
        <v>66728237205596.711</v>
      </c>
      <c r="AM31" s="192">
        <f>data!AL31/(1000000*conversions!$C$1)</f>
        <v>5719.5631890511468</v>
      </c>
      <c r="AN31" s="192">
        <f t="shared" si="47"/>
        <v>5719.5631890511468</v>
      </c>
      <c r="AQ31" s="322">
        <v>9.9999999999999998E-13</v>
      </c>
      <c r="AR31" s="212">
        <f t="shared" si="58"/>
        <v>4.8434589167971467</v>
      </c>
      <c r="AT31" s="212">
        <f t="shared" si="48"/>
        <v>1.3642294334898191E-3</v>
      </c>
      <c r="BR31" s="212" t="str">
        <f t="shared" si="49"/>
        <v/>
      </c>
      <c r="CD31" s="173">
        <f t="shared" si="3"/>
        <v>1975</v>
      </c>
      <c r="CE31" s="173">
        <f t="shared" si="50"/>
        <v>2750.2634003309513</v>
      </c>
      <c r="CF31" s="173">
        <f t="shared" si="51"/>
        <v>1002.6701381504682</v>
      </c>
      <c r="CG31" s="173">
        <f t="shared" si="52"/>
        <v>1550.4427432264877</v>
      </c>
      <c r="CH31" s="173">
        <f t="shared" si="53"/>
        <v>82.44577016646727</v>
      </c>
      <c r="CI31" s="173"/>
      <c r="CJ31" s="173">
        <f t="shared" si="54"/>
        <v>325.93834072756272</v>
      </c>
      <c r="CK31" s="173">
        <f t="shared" si="55"/>
        <v>7.8027964492084694</v>
      </c>
      <c r="CL31" s="173">
        <v>0</v>
      </c>
      <c r="CM31" s="173"/>
      <c r="CN31" s="173"/>
      <c r="CO31" s="173"/>
      <c r="CP31" s="174"/>
      <c r="CQ31" s="174"/>
      <c r="CR31" s="174"/>
      <c r="CT31" s="190">
        <f t="shared" si="56"/>
        <v>5.1683556414000176</v>
      </c>
      <c r="CU31" s="190">
        <f t="shared" si="57"/>
        <v>21.084205921779116</v>
      </c>
      <c r="CV31" s="198">
        <f t="shared" si="59"/>
        <v>950.83739011546072</v>
      </c>
      <c r="CW31" s="198">
        <f t="shared" si="60"/>
        <v>950.83739011546072</v>
      </c>
      <c r="CX31" s="198">
        <v>950.83739011546072</v>
      </c>
      <c r="CY31" s="198">
        <f t="shared" si="61"/>
        <v>0</v>
      </c>
      <c r="CZ31" s="199">
        <f>IF(CX31&lt;intermediates!$B$55,intermediates!$B$56+(CX31-intermediates!$B$55)*intermediates!$B$53,intermediates!$B$56+(data!CX31-intermediates!$B$55)*intermediates!$B$58)</f>
        <v>0.4861568413911449</v>
      </c>
      <c r="DA31" s="220">
        <v>1395173.04</v>
      </c>
      <c r="DB31" s="220">
        <v>3229726.32</v>
      </c>
      <c r="DD31" s="209">
        <f t="shared" si="33"/>
        <v>-4.5578252009538663E-4</v>
      </c>
      <c r="DE31" s="209">
        <f t="shared" si="34"/>
        <v>2.0729098298473548E-3</v>
      </c>
      <c r="DF31" s="209"/>
      <c r="DG31" s="201">
        <f t="shared" si="8"/>
        <v>13951730400000</v>
      </c>
      <c r="DH31" s="201">
        <f t="shared" si="8"/>
        <v>32297263200000</v>
      </c>
      <c r="DJ31" s="220">
        <v>5431718246062580</v>
      </c>
      <c r="DK31" s="220">
        <v>709334839697333</v>
      </c>
      <c r="DL31" s="220">
        <v>6141053085759910</v>
      </c>
      <c r="DM31" s="220">
        <v>1582036750923300</v>
      </c>
      <c r="DN31" s="220">
        <v>83323674850552</v>
      </c>
      <c r="DO31" s="220">
        <v>1665360425773860</v>
      </c>
      <c r="DP31" s="220">
        <v>2984617708282500</v>
      </c>
      <c r="DQ31" s="220">
        <v>560493214897380</v>
      </c>
      <c r="DR31" s="220">
        <v>3545110923179880</v>
      </c>
      <c r="DS31" s="220">
        <v>154237513383563</v>
      </c>
      <c r="DT31" s="220">
        <v>60430642075826.297</v>
      </c>
      <c r="DU31" s="220">
        <v>214668155459389</v>
      </c>
      <c r="DV31" s="220">
        <v>854851102322300</v>
      </c>
      <c r="DW31" s="220">
        <v>1532641037950.5601</v>
      </c>
      <c r="DX31" s="220">
        <v>856383743360250</v>
      </c>
      <c r="DY31" s="220">
        <v>277540772218514</v>
      </c>
      <c r="DZ31" s="220">
        <v>1749254688395.5601</v>
      </c>
      <c r="EA31" s="220">
        <v>279290026906910</v>
      </c>
      <c r="EB31" s="220">
        <v>238370053673456</v>
      </c>
      <c r="EC31" s="220">
        <v>7815567011824.4199</v>
      </c>
      <c r="ED31" s="220">
        <v>246185620685280</v>
      </c>
      <c r="EE31" s="212">
        <f t="shared" si="9"/>
        <v>2380.8503872364035</v>
      </c>
      <c r="EG31" s="212">
        <f t="shared" si="10"/>
        <v>0.1581031530586442</v>
      </c>
      <c r="EI31" s="212">
        <f t="shared" si="35"/>
        <v>0.1581031530586442</v>
      </c>
      <c r="EJ31" s="212">
        <v>0.33547145606157791</v>
      </c>
      <c r="EK31" s="212">
        <v>6.6526977475117863E-2</v>
      </c>
      <c r="EL31" s="212">
        <v>5.2912621359223304E-2</v>
      </c>
      <c r="EM31" s="212">
        <v>0.29970326409495551</v>
      </c>
      <c r="EN31" s="212">
        <f t="shared" si="11"/>
        <v>2004.4304340534341</v>
      </c>
      <c r="EP31" s="212">
        <f t="shared" si="12"/>
        <v>376.41995318296938</v>
      </c>
      <c r="ER31" s="215">
        <f t="shared" si="13"/>
        <v>389.32219089200436</v>
      </c>
      <c r="ES31" s="209">
        <f t="shared" si="42"/>
        <v>10.56740722463519</v>
      </c>
      <c r="EU31" s="215">
        <f t="shared" si="14"/>
        <v>389.32219089200436</v>
      </c>
      <c r="EV31" s="216">
        <f>data!EU31*conversions!$C$13</f>
        <v>0.45278170800740103</v>
      </c>
      <c r="EW31" s="217">
        <f t="shared" si="15"/>
        <v>4.5531759322270091E-2</v>
      </c>
      <c r="EX31" s="217"/>
      <c r="EZ31" s="217">
        <f t="shared" si="36"/>
        <v>4.5531759322270091E-2</v>
      </c>
      <c r="FA31" s="212">
        <f t="shared" si="16"/>
        <v>2.2303102320454768</v>
      </c>
      <c r="FD31" s="212">
        <f t="shared" si="37"/>
        <v>2.2303102320454768</v>
      </c>
      <c r="FE31" s="184">
        <f t="shared" si="17"/>
        <v>0.79016732793857636</v>
      </c>
      <c r="FG31" s="184">
        <f t="shared" si="38"/>
        <v>0.79016732793857636</v>
      </c>
      <c r="FH31" s="184">
        <f t="shared" si="18"/>
        <v>5.1096312372185662E-2</v>
      </c>
      <c r="FJ31" s="184">
        <f t="shared" si="39"/>
        <v>5.1096312372185662E-2</v>
      </c>
      <c r="FK31" s="184">
        <f t="shared" si="19"/>
        <v>4.3884834020293494E-2</v>
      </c>
      <c r="FM31" s="184">
        <f t="shared" si="40"/>
        <v>4.3884834020293494E-2</v>
      </c>
      <c r="FN31" s="218"/>
      <c r="FO31" s="218">
        <f t="shared" si="20"/>
        <v>560493214897380</v>
      </c>
      <c r="FP31" s="218">
        <f t="shared" si="21"/>
        <v>709334839697333</v>
      </c>
      <c r="FQ31" s="218">
        <f t="shared" si="22"/>
        <v>32297263200000.004</v>
      </c>
      <c r="FR31" s="218">
        <f t="shared" si="23"/>
        <v>1582036750923300</v>
      </c>
      <c r="FS31" s="218">
        <f t="shared" si="24"/>
        <v>4063566855253.1792</v>
      </c>
      <c r="FT31" s="218">
        <f>intermediates!$B$69*data!EU31/intermediates!$B$71</f>
        <v>0.99095492610222657</v>
      </c>
      <c r="FU31" s="218">
        <f>(Y31+W31)*conversions!$C$1*1000000</f>
        <v>91032625240.765472</v>
      </c>
      <c r="FV31" s="218">
        <f t="shared" si="41"/>
        <v>91863537728.026367</v>
      </c>
      <c r="FW31" s="221">
        <f t="shared" si="25"/>
        <v>196292976938.98654</v>
      </c>
      <c r="FX31" s="221">
        <f t="shared" si="26"/>
        <v>104429439210.96017</v>
      </c>
      <c r="FY31" s="221">
        <f>FX31*intermediates!$B$72*1000*ER31/(intermediates!$B$71*10000*1000000000)</f>
        <v>8.278789377295519</v>
      </c>
      <c r="FZ31" s="221">
        <f t="shared" si="27"/>
        <v>2.029373453325547</v>
      </c>
      <c r="GA31" s="218"/>
      <c r="GB31" s="218"/>
      <c r="GC31" s="218">
        <f t="shared" si="28"/>
        <v>7666189541994.0625</v>
      </c>
      <c r="GD31" s="218">
        <f t="shared" si="29"/>
        <v>11926049374186.229</v>
      </c>
      <c r="GE31" s="218">
        <f t="shared" si="30"/>
        <v>13177680582727.609</v>
      </c>
      <c r="GF31" s="218">
        <f t="shared" si="31"/>
        <v>673330883395.93555</v>
      </c>
      <c r="GG31" s="218">
        <f t="shared" si="32"/>
        <v>578300325145.44556</v>
      </c>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188">
        <f t="shared" si="4"/>
        <v>1975</v>
      </c>
    </row>
    <row r="32" spans="1:221" x14ac:dyDescent="0.3">
      <c r="A32" s="211">
        <v>1976</v>
      </c>
      <c r="B32" s="207">
        <v>4154666.827</v>
      </c>
      <c r="C32" s="207">
        <v>981654.16599999997</v>
      </c>
      <c r="D32" s="207">
        <f t="shared" si="1"/>
        <v>3173012.6610000003</v>
      </c>
      <c r="H32" s="207">
        <f t="shared" si="5"/>
        <v>4154666827</v>
      </c>
      <c r="L32" s="187">
        <f t="shared" si="6"/>
        <v>4154666827</v>
      </c>
      <c r="M32" s="184">
        <v>6030.7773263763966</v>
      </c>
      <c r="N32" s="184">
        <v>3968.8253374376927</v>
      </c>
      <c r="O32" s="184">
        <v>2061.9519889387057</v>
      </c>
      <c r="P32" s="184">
        <v>2929.9842652605344</v>
      </c>
      <c r="Q32" s="184">
        <v>1062.353948815502</v>
      </c>
      <c r="R32" s="184">
        <v>1606.9139864861713</v>
      </c>
      <c r="S32" s="184">
        <v>98.065993071219779</v>
      </c>
      <c r="T32" s="184">
        <v>324.75637764740299</v>
      </c>
      <c r="U32" s="184">
        <v>0</v>
      </c>
      <c r="V32" s="184">
        <v>0</v>
      </c>
      <c r="W32" s="184">
        <v>8.7027550955664417</v>
      </c>
      <c r="Z32" s="184">
        <v>4.8629579433500423</v>
      </c>
      <c r="AA32" s="184">
        <v>1.1212929113349914</v>
      </c>
      <c r="AB32" s="184">
        <f>Z32*conversions!$C$6/conversions!$C$8</f>
        <v>17.819009640307005</v>
      </c>
      <c r="AC32" s="184">
        <f>AA32*conversions!$C$6/conversions!$C$8</f>
        <v>4.1086781809430732</v>
      </c>
      <c r="AD32" s="184">
        <f t="shared" si="7"/>
        <v>21.927687821250078</v>
      </c>
      <c r="AE32" s="212">
        <f t="shared" si="43"/>
        <v>5697.3181936334277</v>
      </c>
      <c r="AF32" s="212">
        <f t="shared" si="44"/>
        <v>3.8487735941716532</v>
      </c>
      <c r="AG32" s="184">
        <f>M32*conversions!$C$1*1000000/data!L32</f>
        <v>16934.948513917174</v>
      </c>
      <c r="AH32" s="184">
        <f>N32*conversions!$C$1*1000/C32</f>
        <v>47168.30414806839</v>
      </c>
      <c r="AI32" s="184">
        <f>O32*conversions!$C$1*1000/D32</f>
        <v>7581.4719661524323</v>
      </c>
      <c r="AK32" s="192">
        <f t="shared" si="45"/>
        <v>16934.948513917174</v>
      </c>
      <c r="AL32" s="192">
        <f t="shared" si="46"/>
        <v>70359068807724.633</v>
      </c>
      <c r="AM32" s="192">
        <f>data!AL32/(1000000*conversions!$C$1)</f>
        <v>6030.7773263763975</v>
      </c>
      <c r="AN32" s="192">
        <f t="shared" si="47"/>
        <v>6030.7773263763975</v>
      </c>
      <c r="AQ32" s="322">
        <v>9.9999999999999998E-13</v>
      </c>
      <c r="AR32" s="212">
        <f t="shared" si="58"/>
        <v>-1.1819630801597327</v>
      </c>
      <c r="AT32" s="212">
        <f t="shared" si="48"/>
        <v>1.4430569435060715E-3</v>
      </c>
      <c r="BR32" s="212" t="str">
        <f t="shared" si="49"/>
        <v/>
      </c>
      <c r="CD32" s="173">
        <f t="shared" si="3"/>
        <v>1976</v>
      </c>
      <c r="CE32" s="173">
        <f t="shared" si="50"/>
        <v>2929.9842652605344</v>
      </c>
      <c r="CF32" s="173">
        <f t="shared" si="51"/>
        <v>1062.353948815502</v>
      </c>
      <c r="CG32" s="173">
        <f t="shared" si="52"/>
        <v>1606.9139864861713</v>
      </c>
      <c r="CH32" s="173">
        <f t="shared" si="53"/>
        <v>98.065993071219779</v>
      </c>
      <c r="CI32" s="173"/>
      <c r="CJ32" s="173">
        <f t="shared" si="54"/>
        <v>324.75637764740299</v>
      </c>
      <c r="CK32" s="173">
        <f t="shared" si="55"/>
        <v>8.7027550955664417</v>
      </c>
      <c r="CL32" s="173">
        <v>0</v>
      </c>
      <c r="CM32" s="173"/>
      <c r="CN32" s="173"/>
      <c r="CO32" s="173"/>
      <c r="CP32" s="174"/>
      <c r="CQ32" s="174"/>
      <c r="CR32" s="174"/>
      <c r="CT32" s="190">
        <f t="shared" si="56"/>
        <v>5.277845067803816</v>
      </c>
      <c r="CU32" s="190">
        <f t="shared" si="57"/>
        <v>21.927687821250082</v>
      </c>
      <c r="CV32" s="198">
        <f t="shared" si="59"/>
        <v>972.7650779367109</v>
      </c>
      <c r="CW32" s="198">
        <f t="shared" si="60"/>
        <v>972.7650779367109</v>
      </c>
      <c r="CX32" s="198">
        <v>972.7650779367109</v>
      </c>
      <c r="CY32" s="198">
        <f t="shared" si="61"/>
        <v>0</v>
      </c>
      <c r="CZ32" s="199">
        <f>IF(CX32&lt;intermediates!$B$55,intermediates!$B$56+(CX32-intermediates!$B$55)*intermediates!$B$53,intermediates!$B$56+(data!CX32-intermediates!$B$55)*intermediates!$B$58)</f>
        <v>0.49808111139974343</v>
      </c>
      <c r="DA32" s="220">
        <v>1408126.1225000001</v>
      </c>
      <c r="DB32" s="220">
        <v>3225226.7121000001</v>
      </c>
      <c r="DD32" s="209">
        <f t="shared" si="33"/>
        <v>8.2961491011542335E-3</v>
      </c>
      <c r="DE32" s="209">
        <f t="shared" si="34"/>
        <v>-1.3775338127851448E-3</v>
      </c>
      <c r="DF32" s="209"/>
      <c r="DG32" s="201">
        <f t="shared" si="8"/>
        <v>14081261225000</v>
      </c>
      <c r="DH32" s="201">
        <f t="shared" si="8"/>
        <v>32252267121000</v>
      </c>
      <c r="DJ32" s="220">
        <v>5738101533180630</v>
      </c>
      <c r="DK32" s="220">
        <v>723576650464989</v>
      </c>
      <c r="DL32" s="220">
        <v>6461678183645610</v>
      </c>
      <c r="DM32" s="220">
        <v>1642024184393310</v>
      </c>
      <c r="DN32" s="220">
        <v>83645135851902.906</v>
      </c>
      <c r="DO32" s="220">
        <v>1725669320245220</v>
      </c>
      <c r="DP32" s="220">
        <v>3023105068546480</v>
      </c>
      <c r="DQ32" s="220">
        <v>576741560018359</v>
      </c>
      <c r="DR32" s="220">
        <v>3599846628564840</v>
      </c>
      <c r="DS32" s="220">
        <v>164912545119915</v>
      </c>
      <c r="DT32" s="220">
        <v>62367505075900.5</v>
      </c>
      <c r="DU32" s="220">
        <v>227280050195815</v>
      </c>
      <c r="DV32" s="220">
        <v>915958003887892</v>
      </c>
      <c r="DW32" s="220">
        <v>1509096250799.3999</v>
      </c>
      <c r="DX32" s="220">
        <v>917467100138692</v>
      </c>
      <c r="DY32" s="220">
        <v>276984280250200</v>
      </c>
      <c r="DZ32" s="220">
        <v>1848590658787.25</v>
      </c>
      <c r="EA32" s="220">
        <v>278832870908988</v>
      </c>
      <c r="EB32" s="220">
        <v>264906645196634</v>
      </c>
      <c r="EC32" s="220">
        <v>7918017677620.5801</v>
      </c>
      <c r="ED32" s="220">
        <v>272824662874255</v>
      </c>
      <c r="EE32" s="212">
        <f t="shared" si="9"/>
        <v>2373.8590634568277</v>
      </c>
      <c r="EG32" s="212">
        <f t="shared" si="10"/>
        <v>0.16021281446879029</v>
      </c>
      <c r="EI32" s="212">
        <f t="shared" si="35"/>
        <v>0.16021281446879029</v>
      </c>
      <c r="EJ32" s="212">
        <v>0.33354231974921628</v>
      </c>
      <c r="EK32" s="212">
        <v>6.5600000000000006E-2</v>
      </c>
      <c r="EL32" s="212">
        <v>5.8762350494019761E-2</v>
      </c>
      <c r="EM32" s="212">
        <v>0.29781852671514386</v>
      </c>
      <c r="EN32" s="212">
        <f t="shared" si="11"/>
        <v>1993.536421748162</v>
      </c>
      <c r="EP32" s="212">
        <f t="shared" si="12"/>
        <v>380.32264170866506</v>
      </c>
      <c r="ER32" s="215">
        <f t="shared" si="13"/>
        <v>407.49911826031263</v>
      </c>
      <c r="ES32" s="209">
        <f t="shared" si="42"/>
        <v>18.17692736830827</v>
      </c>
      <c r="EU32" s="215">
        <f t="shared" si="14"/>
        <v>407.49911826031263</v>
      </c>
      <c r="EV32" s="216">
        <f>data!EU32*conversions!$C$13</f>
        <v>0.47392147453674355</v>
      </c>
      <c r="EW32" s="217">
        <f t="shared" si="15"/>
        <v>4.4573393987041819E-2</v>
      </c>
      <c r="EX32" s="217"/>
      <c r="EZ32" s="217">
        <f t="shared" si="36"/>
        <v>4.4573393987041819E-2</v>
      </c>
      <c r="FA32" s="212">
        <f t="shared" si="16"/>
        <v>2.2693161579192793</v>
      </c>
      <c r="FD32" s="212">
        <f t="shared" si="37"/>
        <v>2.2693161579192793</v>
      </c>
      <c r="FE32" s="184">
        <f t="shared" si="17"/>
        <v>0.79707044118647274</v>
      </c>
      <c r="FG32" s="184">
        <f t="shared" si="38"/>
        <v>0.79707044118647274</v>
      </c>
      <c r="FH32" s="184">
        <f t="shared" si="18"/>
        <v>4.8271066423020856E-2</v>
      </c>
      <c r="FJ32" s="184">
        <f t="shared" si="39"/>
        <v>4.8271066423020856E-2</v>
      </c>
      <c r="FK32" s="184">
        <f t="shared" si="19"/>
        <v>4.6166252664719971E-2</v>
      </c>
      <c r="FM32" s="184">
        <f t="shared" si="40"/>
        <v>4.6166252664719971E-2</v>
      </c>
      <c r="FN32" s="218"/>
      <c r="FO32" s="218">
        <f t="shared" si="20"/>
        <v>576741560018359</v>
      </c>
      <c r="FP32" s="218">
        <f t="shared" si="21"/>
        <v>723576650464989</v>
      </c>
      <c r="FQ32" s="218">
        <f t="shared" si="22"/>
        <v>32252267121000</v>
      </c>
      <c r="FR32" s="218">
        <f t="shared" si="23"/>
        <v>1642024184393310.3</v>
      </c>
      <c r="FS32" s="218">
        <f t="shared" si="24"/>
        <v>4029515919944.5835</v>
      </c>
      <c r="FT32" s="218">
        <f>intermediates!$B$69*data!EU32/intermediates!$B$71</f>
        <v>1.0372212734577617</v>
      </c>
      <c r="FU32" s="218">
        <f>(Y32+W32)*conversions!$C$1*1000000</f>
        <v>101532142781.60847</v>
      </c>
      <c r="FV32" s="218">
        <f t="shared" si="41"/>
        <v>97888604273.544266</v>
      </c>
      <c r="FW32" s="221">
        <f t="shared" si="25"/>
        <v>209878736411.36401</v>
      </c>
      <c r="FX32" s="221">
        <f t="shared" si="26"/>
        <v>111990132137.81975</v>
      </c>
      <c r="FY32" s="221">
        <f>FX32*intermediates!$B$72*1000*ER32/(intermediates!$B$71*10000*1000000000)</f>
        <v>9.2926837976553927</v>
      </c>
      <c r="FZ32" s="221">
        <f t="shared" si="27"/>
        <v>2.2366856801283994</v>
      </c>
      <c r="GA32" s="218"/>
      <c r="GB32" s="218"/>
      <c r="GC32" s="218">
        <f t="shared" si="28"/>
        <v>7418678797276.082</v>
      </c>
      <c r="GD32" s="218">
        <f t="shared" si="29"/>
        <v>11658073453632.029</v>
      </c>
      <c r="GE32" s="218">
        <f t="shared" si="30"/>
        <v>12873844847369.092</v>
      </c>
      <c r="GF32" s="218">
        <f t="shared" si="31"/>
        <v>621434219747.01819</v>
      </c>
      <c r="GG32" s="218">
        <f t="shared" si="32"/>
        <v>594337173990.0448</v>
      </c>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188">
        <f t="shared" si="4"/>
        <v>1976</v>
      </c>
    </row>
    <row r="33" spans="1:237" x14ac:dyDescent="0.3">
      <c r="A33" s="184">
        <v>1977</v>
      </c>
      <c r="B33" s="207">
        <v>4229505.9189999998</v>
      </c>
      <c r="C33" s="207">
        <v>991016.28700000024</v>
      </c>
      <c r="D33" s="207">
        <f t="shared" si="1"/>
        <v>3238489.6319999993</v>
      </c>
      <c r="H33" s="207">
        <f t="shared" si="5"/>
        <v>4229505919</v>
      </c>
      <c r="L33" s="187">
        <f t="shared" si="6"/>
        <v>4229505919</v>
      </c>
      <c r="M33" s="184">
        <v>6245.1199965078122</v>
      </c>
      <c r="N33" s="184">
        <v>4053.660709663759</v>
      </c>
      <c r="O33" s="184">
        <v>2191.4592868440509</v>
      </c>
      <c r="P33" s="184">
        <v>3029.8500313531831</v>
      </c>
      <c r="Q33" s="184">
        <v>1097.2695069828283</v>
      </c>
      <c r="R33" s="184">
        <v>1654.4661627192038</v>
      </c>
      <c r="S33" s="184">
        <v>121.1525648230414</v>
      </c>
      <c r="T33" s="184">
        <v>333.20343556066393</v>
      </c>
      <c r="U33" s="184">
        <v>0</v>
      </c>
      <c r="V33" s="184">
        <v>0</v>
      </c>
      <c r="W33" s="184">
        <v>9.1782950688917673</v>
      </c>
      <c r="Z33" s="184">
        <v>4.9964691666638146</v>
      </c>
      <c r="AA33" s="184">
        <v>1.1031171265144351</v>
      </c>
      <c r="AB33" s="184">
        <f>Z33*conversions!$C$6/conversions!$C$8</f>
        <v>18.308225834037522</v>
      </c>
      <c r="AC33" s="184">
        <f>AA33*conversions!$C$6/conversions!$C$8</f>
        <v>4.0420778753861377</v>
      </c>
      <c r="AD33" s="184">
        <f t="shared" si="7"/>
        <v>22.35030370942366</v>
      </c>
      <c r="AE33" s="212">
        <f t="shared" si="43"/>
        <v>5902.7382658782572</v>
      </c>
      <c r="AF33" s="212">
        <f t="shared" si="44"/>
        <v>3.786429738655912</v>
      </c>
      <c r="AG33" s="184">
        <f>M33*conversions!$C$1*1000000/data!L33</f>
        <v>17226.535365581822</v>
      </c>
      <c r="AH33" s="184">
        <f>N33*conversions!$C$1*1000/C33</f>
        <v>47721.423855277681</v>
      </c>
      <c r="AI33" s="184">
        <f>O33*conversions!$C$1*1000/D33</f>
        <v>7894.7373369823399</v>
      </c>
      <c r="AK33" s="192">
        <f t="shared" si="45"/>
        <v>17226.535365581822</v>
      </c>
      <c r="AL33" s="192">
        <f t="shared" si="46"/>
        <v>72859733292591.141</v>
      </c>
      <c r="AM33" s="192">
        <f>data!AL33/(1000000*conversions!$C$1)</f>
        <v>6245.1199965078122</v>
      </c>
      <c r="AN33" s="192">
        <f t="shared" si="47"/>
        <v>6245.1199965078122</v>
      </c>
      <c r="AQ33" s="322">
        <v>9.9999999999999998E-13</v>
      </c>
      <c r="AR33" s="212">
        <f t="shared" si="58"/>
        <v>8.4470579132609487</v>
      </c>
      <c r="AT33" s="212">
        <f t="shared" si="48"/>
        <v>1.4696747338760741E-3</v>
      </c>
      <c r="BR33" s="212" t="str">
        <f t="shared" si="49"/>
        <v/>
      </c>
      <c r="CD33" s="173">
        <f t="shared" si="3"/>
        <v>1977</v>
      </c>
      <c r="CE33" s="173">
        <f t="shared" si="50"/>
        <v>3029.8500313531831</v>
      </c>
      <c r="CF33" s="173">
        <f t="shared" si="51"/>
        <v>1097.2695069828283</v>
      </c>
      <c r="CG33" s="173">
        <f t="shared" si="52"/>
        <v>1654.4661627192038</v>
      </c>
      <c r="CH33" s="173">
        <f t="shared" si="53"/>
        <v>121.1525648230414</v>
      </c>
      <c r="CI33" s="173"/>
      <c r="CJ33" s="173">
        <f t="shared" si="54"/>
        <v>333.20343556066393</v>
      </c>
      <c r="CK33" s="173">
        <f t="shared" si="55"/>
        <v>9.1782950688917673</v>
      </c>
      <c r="CL33" s="173">
        <v>0</v>
      </c>
      <c r="CM33" s="173"/>
      <c r="CN33" s="173"/>
      <c r="CO33" s="173"/>
      <c r="CP33" s="174"/>
      <c r="CQ33" s="174"/>
      <c r="CR33" s="174"/>
      <c r="CT33" s="190">
        <f t="shared" si="56"/>
        <v>5.2843769786490897</v>
      </c>
      <c r="CU33" s="190">
        <f t="shared" si="57"/>
        <v>22.35030370942366</v>
      </c>
      <c r="CV33" s="198">
        <f t="shared" si="59"/>
        <v>995.11538164613467</v>
      </c>
      <c r="CW33" s="198">
        <f t="shared" si="60"/>
        <v>995.11538164613467</v>
      </c>
      <c r="CX33" s="198">
        <v>995.11538164613467</v>
      </c>
      <c r="CY33" s="198">
        <f t="shared" si="61"/>
        <v>0</v>
      </c>
      <c r="CZ33" s="199">
        <f>IF(CX33&lt;intermediates!$B$55,intermediates!$B$56+(CX33-intermediates!$B$55)*intermediates!$B$53,intermediates!$B$56+(data!CX33-intermediates!$B$55)*intermediates!$B$58)</f>
        <v>0.51023519980057686</v>
      </c>
      <c r="DA33" s="220">
        <v>1406813.64</v>
      </c>
      <c r="DB33" s="220">
        <v>3226478.52</v>
      </c>
      <c r="DD33" s="209">
        <f t="shared" si="33"/>
        <v>-8.4061461915779182E-4</v>
      </c>
      <c r="DE33" s="209">
        <f t="shared" si="34"/>
        <v>3.8323510574366605E-4</v>
      </c>
      <c r="DF33" s="209"/>
      <c r="DG33" s="201">
        <f t="shared" si="8"/>
        <v>14068136399999.998</v>
      </c>
      <c r="DH33" s="201">
        <f t="shared" si="8"/>
        <v>32264785200000</v>
      </c>
      <c r="DJ33" s="220">
        <v>5816344876720960</v>
      </c>
      <c r="DK33" s="220">
        <v>744261193519657</v>
      </c>
      <c r="DL33" s="220">
        <v>6560606070240620</v>
      </c>
      <c r="DM33" s="220">
        <v>1739248118935710</v>
      </c>
      <c r="DN33" s="220">
        <v>88027657603332.703</v>
      </c>
      <c r="DO33" s="220">
        <v>1827275776539050</v>
      </c>
      <c r="DP33" s="220">
        <v>3118827551043480</v>
      </c>
      <c r="DQ33" s="220">
        <v>585924385797522</v>
      </c>
      <c r="DR33" s="220">
        <v>3704751936841000</v>
      </c>
      <c r="DS33" s="220">
        <v>176644783057467</v>
      </c>
      <c r="DT33" s="220">
        <v>63019782187477.203</v>
      </c>
      <c r="DU33" s="220">
        <v>239664565244945</v>
      </c>
      <c r="DV33" s="220">
        <v>934635314701403</v>
      </c>
      <c r="DW33" s="220">
        <v>1290195119354.99</v>
      </c>
      <c r="DX33" s="220">
        <v>935925509820758</v>
      </c>
      <c r="DY33" s="220">
        <v>281147807700572</v>
      </c>
      <c r="DZ33" s="220">
        <v>2029833656948.8799</v>
      </c>
      <c r="EA33" s="220">
        <v>283177641357521</v>
      </c>
      <c r="EB33" s="220">
        <v>269035285953016</v>
      </c>
      <c r="EC33" s="220">
        <v>8438616138978.7695</v>
      </c>
      <c r="ED33" s="220">
        <v>277473902091994</v>
      </c>
      <c r="EE33" s="212">
        <f t="shared" si="9"/>
        <v>2399.8087485390038</v>
      </c>
      <c r="EG33" s="212">
        <f t="shared" si="10"/>
        <v>0.15815482272131101</v>
      </c>
      <c r="EI33" s="212">
        <f t="shared" si="35"/>
        <v>0.15815482272131101</v>
      </c>
      <c r="EJ33" s="212">
        <v>0.33206106870229007</v>
      </c>
      <c r="EK33" s="212">
        <v>6.4263322884012541E-2</v>
      </c>
      <c r="EL33" s="212">
        <v>5.3656220322886992E-2</v>
      </c>
      <c r="EM33" s="212">
        <v>0.30143540669856461</v>
      </c>
      <c r="EN33" s="212">
        <f t="shared" si="11"/>
        <v>2020.2674213487676</v>
      </c>
      <c r="EP33" s="212">
        <f t="shared" si="12"/>
        <v>379.54132719023738</v>
      </c>
      <c r="ER33" s="215">
        <f t="shared" si="13"/>
        <v>413.44103521209536</v>
      </c>
      <c r="ES33" s="209">
        <f t="shared" si="42"/>
        <v>5.9419169517827299</v>
      </c>
      <c r="EU33" s="215">
        <f t="shared" si="14"/>
        <v>413.44103521209536</v>
      </c>
      <c r="EV33" s="216">
        <f>data!EU33*conversions!$C$13</f>
        <v>0.48083192395166691</v>
      </c>
      <c r="EW33" s="217">
        <f t="shared" si="15"/>
        <v>4.3351427537714073E-2</v>
      </c>
      <c r="EX33" s="217"/>
      <c r="EZ33" s="217">
        <f t="shared" si="36"/>
        <v>4.3351427537714073E-2</v>
      </c>
      <c r="FA33" s="212">
        <f t="shared" si="16"/>
        <v>2.336878684633144</v>
      </c>
      <c r="FD33" s="212">
        <f t="shared" si="37"/>
        <v>2.336878684633144</v>
      </c>
      <c r="FE33" s="184">
        <f t="shared" si="17"/>
        <v>0.7872563972154043</v>
      </c>
      <c r="FG33" s="184">
        <f t="shared" si="38"/>
        <v>0.7872563972154043</v>
      </c>
      <c r="FH33" s="184">
        <f t="shared" si="18"/>
        <v>4.8337540785420678E-2</v>
      </c>
      <c r="FJ33" s="184">
        <f t="shared" si="39"/>
        <v>4.8337540785420678E-2</v>
      </c>
      <c r="FK33" s="184">
        <f t="shared" si="19"/>
        <v>4.6255043615069838E-2</v>
      </c>
      <c r="FM33" s="184">
        <f t="shared" si="40"/>
        <v>4.6255043615069838E-2</v>
      </c>
      <c r="FN33" s="218"/>
      <c r="FO33" s="218">
        <f t="shared" si="20"/>
        <v>585924385797522</v>
      </c>
      <c r="FP33" s="218">
        <f t="shared" si="21"/>
        <v>744261193519657</v>
      </c>
      <c r="FQ33" s="218">
        <f t="shared" si="22"/>
        <v>32264785200000</v>
      </c>
      <c r="FR33" s="218">
        <f t="shared" si="23"/>
        <v>1739248118935709.8</v>
      </c>
      <c r="FS33" s="218">
        <f t="shared" si="24"/>
        <v>4206762200185.2695</v>
      </c>
      <c r="FT33" s="218">
        <f>intermediates!$B$69*data!EU33/intermediates!$B$71</f>
        <v>1.0523454354285156</v>
      </c>
      <c r="FU33" s="218">
        <f>(Y33+W33)*conversions!$C$1*1000000</f>
        <v>107080109137.07062</v>
      </c>
      <c r="FV33" s="218">
        <f t="shared" si="41"/>
        <v>101753764051.31415</v>
      </c>
      <c r="FW33" s="221">
        <f t="shared" si="25"/>
        <v>224809967215.06308</v>
      </c>
      <c r="FX33" s="221">
        <f t="shared" si="26"/>
        <v>123056203163.74893</v>
      </c>
      <c r="FY33" s="221">
        <f>FX33*intermediates!$B$72*1000*ER33/(intermediates!$B$71*10000*1000000000)</f>
        <v>10.359810696042819</v>
      </c>
      <c r="FZ33" s="221">
        <f t="shared" si="27"/>
        <v>2.4494139255140785</v>
      </c>
      <c r="GA33" s="218"/>
      <c r="GB33" s="218"/>
      <c r="GC33" s="218">
        <f t="shared" si="28"/>
        <v>7543584901879.71</v>
      </c>
      <c r="GD33" s="218">
        <f t="shared" si="29"/>
        <v>11975157069280.043</v>
      </c>
      <c r="GE33" s="218">
        <f t="shared" si="30"/>
        <v>13226263517347.902</v>
      </c>
      <c r="GF33" s="218">
        <f t="shared" si="31"/>
        <v>639325052208.52576</v>
      </c>
      <c r="GG33" s="218">
        <f t="shared" si="32"/>
        <v>611781395859.33423</v>
      </c>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188">
        <f t="shared" si="4"/>
        <v>1977</v>
      </c>
    </row>
    <row r="34" spans="1:237" x14ac:dyDescent="0.3">
      <c r="A34" s="211">
        <v>1978</v>
      </c>
      <c r="B34" s="207">
        <v>4304533.5990000004</v>
      </c>
      <c r="C34" s="207">
        <v>1000170.19</v>
      </c>
      <c r="D34" s="207">
        <f t="shared" si="1"/>
        <v>3304363.4090000005</v>
      </c>
      <c r="H34" s="207">
        <f t="shared" si="5"/>
        <v>4304533599</v>
      </c>
      <c r="L34" s="187">
        <f t="shared" si="6"/>
        <v>4304533599</v>
      </c>
      <c r="M34" s="184">
        <v>6459.6518392421503</v>
      </c>
      <c r="N34" s="184">
        <v>4144.1156530828903</v>
      </c>
      <c r="O34" s="184">
        <v>2315.5361861592601</v>
      </c>
      <c r="P34" s="184">
        <v>3134.1724665785505</v>
      </c>
      <c r="Q34" s="184">
        <v>1143.1544734021211</v>
      </c>
      <c r="R34" s="184">
        <v>1672.9824551938425</v>
      </c>
      <c r="S34" s="184">
        <v>140.13509010987482</v>
      </c>
      <c r="T34" s="184">
        <v>359.48420650769481</v>
      </c>
      <c r="U34" s="184">
        <v>0</v>
      </c>
      <c r="V34" s="184">
        <v>6.7882517988867002E-4</v>
      </c>
      <c r="W34" s="184">
        <v>9.7224686248854493</v>
      </c>
      <c r="Z34" s="184">
        <v>5.179521322002933</v>
      </c>
      <c r="AA34" s="184">
        <v>1.0659872129516601</v>
      </c>
      <c r="AB34" s="184">
        <f>Z34*conversions!$C$6/conversions!$C$8</f>
        <v>18.978971532162909</v>
      </c>
      <c r="AC34" s="184">
        <f>AA34*conversions!$C$6/conversions!$C$8</f>
        <v>3.9060252310025696</v>
      </c>
      <c r="AD34" s="184">
        <f t="shared" si="7"/>
        <v>22.884996763165478</v>
      </c>
      <c r="AE34" s="212">
        <f t="shared" si="43"/>
        <v>6090.444485284389</v>
      </c>
      <c r="AF34" s="212">
        <f t="shared" si="44"/>
        <v>3.7575248930451224</v>
      </c>
      <c r="AG34" s="184">
        <f>M34*conversions!$C$1*1000000/data!L34</f>
        <v>17507.728318967274</v>
      </c>
      <c r="AH34" s="184">
        <f>N34*conversions!$C$1*1000/C34</f>
        <v>48339.789003943137</v>
      </c>
      <c r="AI34" s="184">
        <f>O34*conversions!$C$1*1000/D34</f>
        <v>8175.4291204610954</v>
      </c>
      <c r="AK34" s="192">
        <f t="shared" si="45"/>
        <v>17507.728318967274</v>
      </c>
      <c r="AL34" s="192">
        <f t="shared" si="46"/>
        <v>75362604791158.422</v>
      </c>
      <c r="AM34" s="192">
        <f>data!AL34/(1000000*conversions!$C$1)</f>
        <v>6459.6518392421503</v>
      </c>
      <c r="AN34" s="192">
        <f t="shared" si="47"/>
        <v>6459.6518392421503</v>
      </c>
      <c r="AQ34" s="322">
        <v>9.9999999999999998E-13</v>
      </c>
      <c r="AR34" s="212">
        <f t="shared" si="58"/>
        <v>26.280770947030874</v>
      </c>
      <c r="AT34" s="212">
        <f t="shared" si="48"/>
        <v>1.5051072204575802E-3</v>
      </c>
      <c r="BR34" s="212" t="str">
        <f t="shared" si="49"/>
        <v/>
      </c>
      <c r="CD34" s="173">
        <f t="shared" si="3"/>
        <v>1978</v>
      </c>
      <c r="CE34" s="173">
        <f t="shared" si="50"/>
        <v>3134.1724665785505</v>
      </c>
      <c r="CF34" s="173">
        <f t="shared" si="51"/>
        <v>1143.1544734021211</v>
      </c>
      <c r="CG34" s="173">
        <f t="shared" si="52"/>
        <v>1672.9824551938425</v>
      </c>
      <c r="CH34" s="173">
        <f t="shared" si="53"/>
        <v>140.13509010987482</v>
      </c>
      <c r="CI34" s="173"/>
      <c r="CJ34" s="173">
        <f t="shared" si="54"/>
        <v>359.48420650769481</v>
      </c>
      <c r="CK34" s="173">
        <f t="shared" si="55"/>
        <v>9.7224686248854493</v>
      </c>
      <c r="CL34" s="173">
        <v>0</v>
      </c>
      <c r="CM34" s="173"/>
      <c r="CN34" s="173">
        <f t="shared" ref="CN34:CN74" si="62">V34</f>
        <v>6.7882517988867002E-4</v>
      </c>
      <c r="CO34" s="173"/>
      <c r="CP34" s="174"/>
      <c r="CQ34" s="174"/>
      <c r="CR34" s="174"/>
      <c r="CT34" s="190">
        <f t="shared" si="56"/>
        <v>5.3164869635311858</v>
      </c>
      <c r="CU34" s="190">
        <f t="shared" si="57"/>
        <v>22.884996763165478</v>
      </c>
      <c r="CV34" s="198">
        <f t="shared" si="59"/>
        <v>1018.0003784093001</v>
      </c>
      <c r="CW34" s="198">
        <f t="shared" si="60"/>
        <v>1018.0003784093001</v>
      </c>
      <c r="CX34" s="198">
        <v>1018.0003784093001</v>
      </c>
      <c r="CY34" s="198">
        <f t="shared" si="61"/>
        <v>0</v>
      </c>
      <c r="CZ34" s="199">
        <f>IF(CX34&lt;intermediates!$B$55,intermediates!$B$56+(CX34-intermediates!$B$55)*intermediates!$B$53,intermediates!$B$56+(data!CX34-intermediates!$B$55)*intermediates!$B$58)</f>
        <v>0.52268005412240071</v>
      </c>
      <c r="DA34" s="220">
        <v>1413802.31</v>
      </c>
      <c r="DB34" s="220">
        <v>3232278.22</v>
      </c>
      <c r="DD34" s="209">
        <f t="shared" si="33"/>
        <v>4.4760811442963308E-3</v>
      </c>
      <c r="DE34" s="209">
        <f t="shared" si="34"/>
        <v>1.7755508994485437E-3</v>
      </c>
      <c r="DF34" s="209"/>
      <c r="DG34" s="201">
        <f t="shared" si="8"/>
        <v>14138023100000</v>
      </c>
      <c r="DH34" s="201">
        <f t="shared" si="8"/>
        <v>32322782200000.004</v>
      </c>
      <c r="DJ34" s="220">
        <v>6234466389413150</v>
      </c>
      <c r="DK34" s="220">
        <v>765749752337408</v>
      </c>
      <c r="DL34" s="220">
        <v>7000216141750560</v>
      </c>
      <c r="DM34" s="220">
        <v>1845180219653290</v>
      </c>
      <c r="DN34" s="220">
        <v>90036652831313.797</v>
      </c>
      <c r="DO34" s="220">
        <v>1935216872484600</v>
      </c>
      <c r="DP34" s="220">
        <v>3251278185122660</v>
      </c>
      <c r="DQ34" s="220">
        <v>605923919563361</v>
      </c>
      <c r="DR34" s="220">
        <v>3857202104686030</v>
      </c>
      <c r="DS34" s="220">
        <v>198205634615070</v>
      </c>
      <c r="DT34" s="220">
        <v>66317290281559.297</v>
      </c>
      <c r="DU34" s="220">
        <v>264522924896629</v>
      </c>
      <c r="DV34" s="220">
        <v>979010793844285</v>
      </c>
      <c r="DW34" s="220">
        <v>1360971401448.8799</v>
      </c>
      <c r="DX34" s="220">
        <v>980371765245733</v>
      </c>
      <c r="DY34" s="220">
        <v>280269111046234</v>
      </c>
      <c r="DZ34" s="220">
        <v>2146860126849.1899</v>
      </c>
      <c r="EA34" s="220">
        <v>282415971173083</v>
      </c>
      <c r="EB34" s="220">
        <v>282421629232077</v>
      </c>
      <c r="EC34" s="220">
        <v>8493656141795.6299</v>
      </c>
      <c r="ED34" s="220">
        <v>290915285373873</v>
      </c>
      <c r="EE34" s="212">
        <f t="shared" si="9"/>
        <v>2455.0109218789275</v>
      </c>
      <c r="EG34" s="212">
        <f t="shared" si="10"/>
        <v>0.15708897359234492</v>
      </c>
      <c r="EI34" s="212">
        <f t="shared" si="35"/>
        <v>0.15708897359234492</v>
      </c>
      <c r="EJ34" s="212">
        <v>0.33763044812768572</v>
      </c>
      <c r="EK34" s="212">
        <v>6.3045586808923373E-2</v>
      </c>
      <c r="EL34" s="212">
        <v>5.2141527001862198E-2</v>
      </c>
      <c r="EM34" s="212">
        <v>0.29984152139461173</v>
      </c>
      <c r="EN34" s="212">
        <f t="shared" si="11"/>
        <v>2069.3557760029648</v>
      </c>
      <c r="EP34" s="212">
        <f t="shared" si="12"/>
        <v>385.6551458759572</v>
      </c>
      <c r="ER34" s="215">
        <f t="shared" si="13"/>
        <v>440.97158034868045</v>
      </c>
      <c r="ES34" s="209">
        <f t="shared" si="42"/>
        <v>27.53054513658509</v>
      </c>
      <c r="EU34" s="215">
        <f t="shared" si="14"/>
        <v>440.97158034868045</v>
      </c>
      <c r="EV34" s="216">
        <f>data!EU34*conversions!$C$13</f>
        <v>0.51284994794551531</v>
      </c>
      <c r="EW34" s="217">
        <f t="shared" si="15"/>
        <v>4.221063356708446E-2</v>
      </c>
      <c r="EX34" s="217"/>
      <c r="EZ34" s="217">
        <f t="shared" si="36"/>
        <v>4.221063356708446E-2</v>
      </c>
      <c r="FA34" s="212">
        <f t="shared" si="16"/>
        <v>2.4096386763704216</v>
      </c>
      <c r="FD34" s="212">
        <f t="shared" si="37"/>
        <v>2.4096386763704216</v>
      </c>
      <c r="FE34" s="184">
        <f t="shared" si="17"/>
        <v>0.79128190079567429</v>
      </c>
      <c r="FG34" s="184">
        <f t="shared" si="38"/>
        <v>0.79128190079567429</v>
      </c>
      <c r="FH34" s="184">
        <f t="shared" si="18"/>
        <v>4.4954787393218384E-2</v>
      </c>
      <c r="FJ34" s="184">
        <f t="shared" si="39"/>
        <v>4.4954787393218384E-2</v>
      </c>
      <c r="FK34" s="184">
        <f t="shared" si="19"/>
        <v>4.5300048406975428E-2</v>
      </c>
      <c r="FM34" s="184">
        <f t="shared" si="40"/>
        <v>4.5300048406975428E-2</v>
      </c>
      <c r="FN34" s="218"/>
      <c r="FO34" s="218">
        <f t="shared" si="20"/>
        <v>605923919563361</v>
      </c>
      <c r="FP34" s="218">
        <f t="shared" si="21"/>
        <v>765749752337408</v>
      </c>
      <c r="FQ34" s="218">
        <f t="shared" si="22"/>
        <v>32322782200000.008</v>
      </c>
      <c r="FR34" s="218">
        <f t="shared" si="23"/>
        <v>1845180219653290</v>
      </c>
      <c r="FS34" s="218">
        <f t="shared" si="24"/>
        <v>4184351785650.8765</v>
      </c>
      <c r="FT34" s="218">
        <f>intermediates!$B$69*data!EU34/intermediates!$B$71</f>
        <v>1.1224198621106218</v>
      </c>
      <c r="FU34" s="218">
        <f>(Y34+W34)*conversions!$C$1*1000000</f>
        <v>113428800623.66357</v>
      </c>
      <c r="FV34" s="218">
        <f t="shared" si="41"/>
        <v>101057371178.70462</v>
      </c>
      <c r="FW34" s="221">
        <f t="shared" si="25"/>
        <v>252249749176.90393</v>
      </c>
      <c r="FX34" s="221">
        <f t="shared" si="26"/>
        <v>151192377998.19931</v>
      </c>
      <c r="FY34" s="221">
        <f>FX34*intermediates!$B$72*1000*ER34/(intermediates!$B$71*10000*1000000000)</f>
        <v>13.576106245193271</v>
      </c>
      <c r="FZ34" s="221">
        <f t="shared" si="27"/>
        <v>3.1539087645516766</v>
      </c>
      <c r="GA34" s="218"/>
      <c r="GB34" s="218"/>
      <c r="GC34" s="218">
        <f t="shared" si="28"/>
        <v>7372988033722.8164</v>
      </c>
      <c r="GD34" s="218">
        <f t="shared" si="29"/>
        <v>11809589568550.598</v>
      </c>
      <c r="GE34" s="218">
        <f t="shared" si="30"/>
        <v>12981206202879.988</v>
      </c>
      <c r="GF34" s="218">
        <f t="shared" si="31"/>
        <v>583567364957.99756</v>
      </c>
      <c r="GG34" s="218">
        <f t="shared" si="32"/>
        <v>588049269371.39319</v>
      </c>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188">
        <f t="shared" si="4"/>
        <v>1978</v>
      </c>
    </row>
    <row r="35" spans="1:237" x14ac:dyDescent="0.3">
      <c r="A35" s="184">
        <v>1979</v>
      </c>
      <c r="B35" s="207">
        <v>4380506.1849999996</v>
      </c>
      <c r="C35" s="207">
        <v>1009191.5479999998</v>
      </c>
      <c r="D35" s="207">
        <f t="shared" si="1"/>
        <v>3371314.6369999996</v>
      </c>
      <c r="H35" s="207">
        <f t="shared" si="5"/>
        <v>4380506185</v>
      </c>
      <c r="L35" s="187">
        <f t="shared" si="6"/>
        <v>4380506185</v>
      </c>
      <c r="M35" s="184">
        <v>6684.1594275024818</v>
      </c>
      <c r="N35" s="184">
        <v>4255.4104863889906</v>
      </c>
      <c r="O35" s="184">
        <v>2428.7489411134929</v>
      </c>
      <c r="P35" s="184">
        <v>3186.9962976552401</v>
      </c>
      <c r="Q35" s="184">
        <v>1214.0462549172421</v>
      </c>
      <c r="R35" s="184">
        <v>1750.6027894786318</v>
      </c>
      <c r="S35" s="184">
        <v>144.73293879855129</v>
      </c>
      <c r="T35" s="184">
        <v>377.33282135555061</v>
      </c>
      <c r="U35" s="184">
        <v>0</v>
      </c>
      <c r="V35" s="184">
        <v>1.35765035977734E-3</v>
      </c>
      <c r="W35" s="184">
        <v>10.446967646907948</v>
      </c>
      <c r="Z35" s="184">
        <v>5.3176443229793167</v>
      </c>
      <c r="AA35" s="184">
        <v>1.0386992796401979</v>
      </c>
      <c r="AB35" s="184">
        <f>Z35*conversions!$C$6/conversions!$C$8</f>
        <v>19.48508635252897</v>
      </c>
      <c r="AC35" s="184">
        <f>AA35*conversions!$C$6/conversions!$C$8</f>
        <v>3.80603589274273</v>
      </c>
      <c r="AD35" s="184">
        <f t="shared" si="7"/>
        <v>23.291122245271701</v>
      </c>
      <c r="AE35" s="212">
        <f t="shared" si="43"/>
        <v>6296.3782808496653</v>
      </c>
      <c r="AF35" s="212">
        <f t="shared" si="44"/>
        <v>3.6991300723006559</v>
      </c>
      <c r="AG35" s="184">
        <f>M35*conversions!$C$1*1000000/data!L35</f>
        <v>17802.020290385448</v>
      </c>
      <c r="AH35" s="184">
        <f>N35*conversions!$C$1*1000/C35</f>
        <v>49194.284051354574</v>
      </c>
      <c r="AI35" s="184">
        <f>O35*conversions!$C$1*1000/D35</f>
        <v>8404.8531104190588</v>
      </c>
      <c r="AK35" s="192">
        <f t="shared" si="45"/>
        <v>17802.020290385448</v>
      </c>
      <c r="AL35" s="192">
        <f t="shared" si="46"/>
        <v>77981859987528.953</v>
      </c>
      <c r="AM35" s="192">
        <f>data!AL35/(1000000*conversions!$C$1)</f>
        <v>6684.1594275024818</v>
      </c>
      <c r="AN35" s="192">
        <f t="shared" si="47"/>
        <v>6684.1594275024818</v>
      </c>
      <c r="AQ35" s="322">
        <v>9.9999999999999998E-13</v>
      </c>
      <c r="AR35" s="212">
        <f t="shared" si="58"/>
        <v>17.848614847855799</v>
      </c>
      <c r="AT35" s="212">
        <f t="shared" si="48"/>
        <v>1.5629441158933322E-3</v>
      </c>
      <c r="BR35" s="212" t="str">
        <f t="shared" si="49"/>
        <v/>
      </c>
      <c r="CD35" s="173">
        <f t="shared" si="3"/>
        <v>1979</v>
      </c>
      <c r="CE35" s="173">
        <f t="shared" si="50"/>
        <v>3186.9962976552401</v>
      </c>
      <c r="CF35" s="173">
        <f t="shared" si="51"/>
        <v>1214.0462549172421</v>
      </c>
      <c r="CG35" s="173">
        <f t="shared" si="52"/>
        <v>1750.6027894786318</v>
      </c>
      <c r="CH35" s="173">
        <f t="shared" si="53"/>
        <v>144.73293879855129</v>
      </c>
      <c r="CI35" s="173"/>
      <c r="CJ35" s="173">
        <f t="shared" si="54"/>
        <v>377.33282135555061</v>
      </c>
      <c r="CK35" s="173">
        <f t="shared" si="55"/>
        <v>10.446967646907948</v>
      </c>
      <c r="CL35" s="173">
        <v>0</v>
      </c>
      <c r="CM35" s="173"/>
      <c r="CN35" s="173">
        <f t="shared" si="62"/>
        <v>1.35765035977734E-3</v>
      </c>
      <c r="CO35" s="173"/>
      <c r="CP35" s="174"/>
      <c r="CQ35" s="174"/>
      <c r="CR35" s="174"/>
      <c r="CT35" s="190">
        <f t="shared" si="56"/>
        <v>5.3169933477155222</v>
      </c>
      <c r="CU35" s="190">
        <f t="shared" si="57"/>
        <v>23.291122245271701</v>
      </c>
      <c r="CV35" s="198">
        <f t="shared" si="59"/>
        <v>1041.2915006545718</v>
      </c>
      <c r="CW35" s="198">
        <f t="shared" si="60"/>
        <v>1041.2915006545718</v>
      </c>
      <c r="CX35" s="198">
        <v>1041.2915006545718</v>
      </c>
      <c r="CY35" s="198">
        <f t="shared" si="61"/>
        <v>0</v>
      </c>
      <c r="CZ35" s="199">
        <f>IF(CX35&lt;intermediates!$B$55,intermediates!$B$56+(CX35-intermediates!$B$55)*intermediates!$B$53,intermediates!$B$56+(data!CX35-intermediates!$B$55)*intermediates!$B$58)</f>
        <v>0.53534575935862483</v>
      </c>
      <c r="DA35" s="220">
        <v>1415759.91</v>
      </c>
      <c r="DB35" s="220">
        <v>3234294.72</v>
      </c>
      <c r="DD35" s="209">
        <f t="shared" si="33"/>
        <v>1.2537974246993597E-3</v>
      </c>
      <c r="DE35" s="209">
        <f t="shared" si="34"/>
        <v>6.1734199850645263E-4</v>
      </c>
      <c r="DF35" s="209"/>
      <c r="DG35" s="201">
        <f t="shared" si="8"/>
        <v>14157599100000</v>
      </c>
      <c r="DH35" s="201">
        <f t="shared" si="8"/>
        <v>32342947200000.004</v>
      </c>
      <c r="DJ35" s="220">
        <v>6159427508264950</v>
      </c>
      <c r="DK35" s="220">
        <v>787608652778905</v>
      </c>
      <c r="DL35" s="220">
        <v>6947036161043850</v>
      </c>
      <c r="DM35" s="220">
        <v>1903382688460800</v>
      </c>
      <c r="DN35" s="220">
        <v>91010724098948</v>
      </c>
      <c r="DO35" s="220">
        <v>1994393412559750</v>
      </c>
      <c r="DP35" s="220">
        <v>3295494943781320</v>
      </c>
      <c r="DQ35" s="220">
        <v>628118931213029</v>
      </c>
      <c r="DR35" s="220">
        <v>3923613874994350</v>
      </c>
      <c r="DS35" s="220">
        <v>190504955240477</v>
      </c>
      <c r="DT35" s="220">
        <v>67578907418521.898</v>
      </c>
      <c r="DU35" s="220">
        <v>258083862658999</v>
      </c>
      <c r="DV35" s="220">
        <v>997786341797607</v>
      </c>
      <c r="DW35" s="220">
        <v>1604944317881.4199</v>
      </c>
      <c r="DX35" s="220">
        <v>999391286115488</v>
      </c>
      <c r="DY35" s="220">
        <v>280732275771621</v>
      </c>
      <c r="DZ35" s="220">
        <v>2285342233484.1299</v>
      </c>
      <c r="EA35" s="220">
        <v>283017618005105</v>
      </c>
      <c r="EB35" s="220">
        <v>282742095683126</v>
      </c>
      <c r="EC35" s="220">
        <v>8907993857641.3691</v>
      </c>
      <c r="ED35" s="220">
        <v>291650089540767</v>
      </c>
      <c r="EE35" s="212">
        <f t="shared" si="9"/>
        <v>2453.9691535166821</v>
      </c>
      <c r="EG35" s="212">
        <f t="shared" si="10"/>
        <v>0.16008683607123128</v>
      </c>
      <c r="EI35" s="212">
        <f t="shared" si="35"/>
        <v>0.16008683607123128</v>
      </c>
      <c r="EJ35" s="212">
        <v>0.34115853658536588</v>
      </c>
      <c r="EK35" s="212">
        <v>7.2219547424169472E-2</v>
      </c>
      <c r="EL35" s="212">
        <v>5.6790123456790124E-2</v>
      </c>
      <c r="EM35" s="212">
        <v>0.29744866210329807</v>
      </c>
      <c r="EN35" s="212">
        <f t="shared" si="11"/>
        <v>2061.1209959137982</v>
      </c>
      <c r="EP35" s="212">
        <f t="shared" si="12"/>
        <v>392.84815760288325</v>
      </c>
      <c r="ER35" s="215">
        <f t="shared" si="13"/>
        <v>435.06158528425556</v>
      </c>
      <c r="ES35" s="209">
        <f t="shared" si="42"/>
        <v>-5.9099950644248906</v>
      </c>
      <c r="EU35" s="215">
        <f t="shared" si="14"/>
        <v>435.06158528425556</v>
      </c>
      <c r="EV35" s="216">
        <f>data!EU35*conversions!$C$13</f>
        <v>0.50597662368558916</v>
      </c>
      <c r="EW35" s="217">
        <f t="shared" si="15"/>
        <v>4.1064743367007182E-2</v>
      </c>
      <c r="EX35" s="217"/>
      <c r="EZ35" s="217">
        <f t="shared" si="36"/>
        <v>4.1064743367007182E-2</v>
      </c>
      <c r="FA35" s="212">
        <f t="shared" si="16"/>
        <v>2.4166604591571335</v>
      </c>
      <c r="FD35" s="212">
        <f t="shared" si="37"/>
        <v>2.4166604591571335</v>
      </c>
      <c r="FE35" s="184">
        <f t="shared" si="17"/>
        <v>0.79750130854561918</v>
      </c>
      <c r="FG35" s="184">
        <f t="shared" si="38"/>
        <v>0.79750130854561918</v>
      </c>
      <c r="FH35" s="184">
        <f t="shared" si="18"/>
        <v>4.5577657240859472E-2</v>
      </c>
      <c r="FJ35" s="184">
        <f t="shared" si="39"/>
        <v>4.5577657240859472E-2</v>
      </c>
      <c r="FK35" s="184">
        <f t="shared" si="19"/>
        <v>4.5903957032326803E-2</v>
      </c>
      <c r="FM35" s="184">
        <f t="shared" si="40"/>
        <v>4.5903957032326803E-2</v>
      </c>
      <c r="FN35" s="218"/>
      <c r="FO35" s="218">
        <f t="shared" si="20"/>
        <v>628118931213029</v>
      </c>
      <c r="FP35" s="218">
        <f t="shared" si="21"/>
        <v>787608652778905</v>
      </c>
      <c r="FQ35" s="218">
        <f t="shared" si="22"/>
        <v>32342947200000.004</v>
      </c>
      <c r="FR35" s="218">
        <f t="shared" si="23"/>
        <v>1903382688460799.8</v>
      </c>
      <c r="FS35" s="218">
        <f t="shared" si="24"/>
        <v>4374972998862.1943</v>
      </c>
      <c r="FT35" s="218">
        <f>intermediates!$B$69*data!EU35/intermediates!$B$71</f>
        <v>1.1073769519982715</v>
      </c>
      <c r="FU35" s="218">
        <f>(Y35+W35)*conversions!$C$1*1000000</f>
        <v>121881289213.92607</v>
      </c>
      <c r="FV35" s="218">
        <f t="shared" si="41"/>
        <v>110063053952.84796</v>
      </c>
      <c r="FW35" s="221">
        <f t="shared" si="25"/>
        <v>242449349483.39716</v>
      </c>
      <c r="FX35" s="221">
        <f t="shared" si="26"/>
        <v>132386295530.54919</v>
      </c>
      <c r="FY35" s="221">
        <f>FX35*intermediates!$B$72*1000*ER35/(intermediates!$B$71*10000*1000000000)</f>
        <v>11.728122594476957</v>
      </c>
      <c r="FZ35" s="221">
        <f t="shared" si="27"/>
        <v>2.677344146810503</v>
      </c>
      <c r="GA35" s="218"/>
      <c r="GB35" s="218"/>
      <c r="GC35" s="218">
        <f t="shared" si="28"/>
        <v>7574778043499.627</v>
      </c>
      <c r="GD35" s="218">
        <f t="shared" si="29"/>
        <v>12192200391845.219</v>
      </c>
      <c r="GE35" s="218">
        <f t="shared" si="30"/>
        <v>13419871940281.617</v>
      </c>
      <c r="GF35" s="218">
        <f t="shared" si="31"/>
        <v>611646323510.3833</v>
      </c>
      <c r="GG35" s="218">
        <f t="shared" si="32"/>
        <v>616025224926.0155</v>
      </c>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188">
        <f t="shared" si="4"/>
        <v>1979</v>
      </c>
    </row>
    <row r="36" spans="1:237" x14ac:dyDescent="0.3">
      <c r="A36" s="211">
        <v>1980</v>
      </c>
      <c r="B36" s="207">
        <v>4458003.466</v>
      </c>
      <c r="C36" s="207">
        <v>1018139.6009999998</v>
      </c>
      <c r="D36" s="207">
        <f t="shared" si="1"/>
        <v>3439863.8650000002</v>
      </c>
      <c r="H36" s="207">
        <f t="shared" si="5"/>
        <v>4458003466</v>
      </c>
      <c r="L36" s="187">
        <f t="shared" si="6"/>
        <v>4458003466</v>
      </c>
      <c r="M36" s="184">
        <v>6635.5271788241334</v>
      </c>
      <c r="N36" s="184">
        <v>4146.7212678582737</v>
      </c>
      <c r="O36" s="184">
        <v>2488.8059109658593</v>
      </c>
      <c r="P36" s="184">
        <v>3061.4955491424917</v>
      </c>
      <c r="Q36" s="184">
        <v>1224.2021167684356</v>
      </c>
      <c r="R36" s="184">
        <v>1793.3378629999868</v>
      </c>
      <c r="S36" s="184">
        <v>160.96164430036981</v>
      </c>
      <c r="T36" s="184">
        <v>384.35295355835603</v>
      </c>
      <c r="U36" s="184">
        <v>0</v>
      </c>
      <c r="V36" s="184">
        <v>2.3758881296103446E-3</v>
      </c>
      <c r="W36" s="184">
        <v>11.174676166362007</v>
      </c>
      <c r="Z36" s="184">
        <v>5.2922257893235827</v>
      </c>
      <c r="AA36" s="184">
        <v>1.0849851625404361</v>
      </c>
      <c r="AB36" s="184">
        <f>Z36*conversions!$C$6/conversions!$C$8</f>
        <v>19.391946929665288</v>
      </c>
      <c r="AC36" s="184">
        <f>AA36*conversions!$C$6/conversions!$C$8</f>
        <v>3.9756381396092308</v>
      </c>
      <c r="AD36" s="184">
        <f t="shared" si="7"/>
        <v>23.367585069274519</v>
      </c>
      <c r="AE36" s="212">
        <f t="shared" si="43"/>
        <v>6239.9971732112845</v>
      </c>
      <c r="AF36" s="212">
        <f t="shared" si="44"/>
        <v>3.7448069960020316</v>
      </c>
      <c r="AG36" s="184">
        <f>M36*conversions!$C$1*1000000/data!L36</f>
        <v>17365.281194455722</v>
      </c>
      <c r="AH36" s="184">
        <f>N36*conversions!$C$1*1000/C36</f>
        <v>47516.484717973231</v>
      </c>
      <c r="AI36" s="184">
        <f>O36*conversions!$C$1*1000/D36</f>
        <v>8441.0517685612995</v>
      </c>
      <c r="AK36" s="192">
        <f t="shared" si="45"/>
        <v>17365.281194455722</v>
      </c>
      <c r="AL36" s="192">
        <f t="shared" si="46"/>
        <v>77414483752948.234</v>
      </c>
      <c r="AM36" s="192">
        <f>data!AL36/(1000000*conversions!$C$1)</f>
        <v>6635.5271788241344</v>
      </c>
      <c r="AN36" s="192">
        <f t="shared" si="47"/>
        <v>6635.5271788241344</v>
      </c>
      <c r="AQ36" s="322">
        <v>9.9999999999999998E-13</v>
      </c>
      <c r="AR36" s="212">
        <f t="shared" si="58"/>
        <v>7.0201322028054278</v>
      </c>
      <c r="AT36" s="212">
        <f t="shared" si="48"/>
        <v>1.6840675752219953E-3</v>
      </c>
      <c r="BR36" s="212" t="str">
        <f t="shared" si="49"/>
        <v/>
      </c>
      <c r="CD36" s="173">
        <f t="shared" si="3"/>
        <v>1980</v>
      </c>
      <c r="CE36" s="173">
        <f t="shared" si="50"/>
        <v>3061.4955491424917</v>
      </c>
      <c r="CF36" s="173">
        <f t="shared" si="51"/>
        <v>1224.2021167684356</v>
      </c>
      <c r="CG36" s="173">
        <f t="shared" si="52"/>
        <v>1793.3378629999868</v>
      </c>
      <c r="CH36" s="173">
        <f t="shared" si="53"/>
        <v>160.96164430036981</v>
      </c>
      <c r="CI36" s="173"/>
      <c r="CJ36" s="173">
        <f t="shared" si="54"/>
        <v>384.35295355835603</v>
      </c>
      <c r="CK36" s="173">
        <f t="shared" si="55"/>
        <v>11.174676166362007</v>
      </c>
      <c r="CL36" s="173">
        <v>0</v>
      </c>
      <c r="CM36" s="173"/>
      <c r="CN36" s="173">
        <f t="shared" si="62"/>
        <v>2.3758881296103446E-3</v>
      </c>
      <c r="CO36" s="173"/>
      <c r="CP36" s="174"/>
      <c r="CQ36" s="174"/>
      <c r="CR36" s="174"/>
      <c r="CT36" s="190">
        <f t="shared" si="56"/>
        <v>5.2417153211057004</v>
      </c>
      <c r="CU36" s="190">
        <f t="shared" si="57"/>
        <v>23.367585069274519</v>
      </c>
      <c r="CV36" s="198">
        <f t="shared" si="59"/>
        <v>1064.6590857238464</v>
      </c>
      <c r="CW36" s="198">
        <f t="shared" si="60"/>
        <v>1064.6590857238464</v>
      </c>
      <c r="CX36" s="198">
        <v>1064.6590857238464</v>
      </c>
      <c r="CY36" s="198">
        <f t="shared" si="61"/>
        <v>0</v>
      </c>
      <c r="CZ36" s="199">
        <f>IF(CX36&lt;intermediates!$B$55,intermediates!$B$56+(CX36-intermediates!$B$55)*intermediates!$B$53,intermediates!$B$56+(data!CX36-intermediates!$B$55)*intermediates!$B$58)</f>
        <v>0.54805304505542762</v>
      </c>
      <c r="DA36" s="220">
        <v>1421116.148</v>
      </c>
      <c r="DB36" s="220">
        <v>3244737.82</v>
      </c>
      <c r="DD36" s="209">
        <f t="shared" si="33"/>
        <v>3.4305462865128165E-3</v>
      </c>
      <c r="DE36" s="209">
        <f t="shared" si="34"/>
        <v>3.1971059879010691E-3</v>
      </c>
      <c r="DF36" s="209"/>
      <c r="DG36" s="201">
        <f t="shared" si="8"/>
        <v>14211161480000</v>
      </c>
      <c r="DH36" s="201">
        <f t="shared" si="8"/>
        <v>32447378200000</v>
      </c>
      <c r="DJ36" s="220">
        <v>6095646521710420</v>
      </c>
      <c r="DK36" s="220">
        <v>803809663592778</v>
      </c>
      <c r="DL36" s="220">
        <v>6899456185303190</v>
      </c>
      <c r="DM36" s="220">
        <v>1876902280223920</v>
      </c>
      <c r="DN36" s="220">
        <v>88934700791981.297</v>
      </c>
      <c r="DO36" s="220">
        <v>1965836981015900</v>
      </c>
      <c r="DP36" s="220">
        <v>3364311444901960</v>
      </c>
      <c r="DQ36" s="220">
        <v>643582556556333</v>
      </c>
      <c r="DR36" s="220">
        <v>4007894001458290</v>
      </c>
      <c r="DS36" s="220">
        <v>219905734062028</v>
      </c>
      <c r="DT36" s="220">
        <v>67574871274508.898</v>
      </c>
      <c r="DU36" s="220">
        <v>287480605336537</v>
      </c>
      <c r="DV36" s="220">
        <v>1021760440699090</v>
      </c>
      <c r="DW36" s="220">
        <v>1322687302566.9399</v>
      </c>
      <c r="DX36" s="220">
        <v>1023083128001650</v>
      </c>
      <c r="DY36" s="220">
        <v>281311032326444</v>
      </c>
      <c r="DZ36" s="220">
        <v>2537862147117.0898</v>
      </c>
      <c r="EA36" s="220">
        <v>283848894473561</v>
      </c>
      <c r="EB36" s="220">
        <v>297850759012353</v>
      </c>
      <c r="EC36" s="220">
        <v>9196400901935.7305</v>
      </c>
      <c r="ED36" s="220">
        <v>307047159914289</v>
      </c>
      <c r="EE36" s="212">
        <f t="shared" si="9"/>
        <v>2463.1051982328427</v>
      </c>
      <c r="EG36" s="212">
        <f t="shared" si="10"/>
        <v>0.16057873694318328</v>
      </c>
      <c r="EI36" s="212">
        <f t="shared" si="35"/>
        <v>0.16057873694318328</v>
      </c>
      <c r="EJ36" s="212">
        <v>0.33770591824283097</v>
      </c>
      <c r="EK36" s="212">
        <v>7.6887232059645857E-2</v>
      </c>
      <c r="EL36" s="212">
        <v>5.8174523570712136E-2</v>
      </c>
      <c r="EM36" s="212">
        <v>0.30396475770925108</v>
      </c>
      <c r="EN36" s="212">
        <f t="shared" si="11"/>
        <v>2067.5828765424258</v>
      </c>
      <c r="EP36" s="212">
        <f t="shared" si="12"/>
        <v>395.52232169041901</v>
      </c>
      <c r="ER36" s="215">
        <f t="shared" si="13"/>
        <v>428.93373143983302</v>
      </c>
      <c r="ES36" s="209">
        <f t="shared" si="42"/>
        <v>-6.1278538444225319</v>
      </c>
      <c r="EU36" s="215">
        <f t="shared" si="14"/>
        <v>428.93373143983302</v>
      </c>
      <c r="EV36" s="216">
        <f>data!EU36*conversions!$C$13</f>
        <v>0.49884992966452579</v>
      </c>
      <c r="EW36" s="217">
        <f t="shared" si="15"/>
        <v>4.0366991925638661E-2</v>
      </c>
      <c r="EX36" s="217"/>
      <c r="EZ36" s="217">
        <f t="shared" si="36"/>
        <v>4.0366991925638661E-2</v>
      </c>
      <c r="FA36" s="212">
        <f t="shared" si="16"/>
        <v>2.3350083548818676</v>
      </c>
      <c r="FD36" s="212">
        <f t="shared" si="37"/>
        <v>2.3350083548818676</v>
      </c>
      <c r="FE36" s="184">
        <f t="shared" si="17"/>
        <v>0.80066536358834017</v>
      </c>
      <c r="FG36" s="184">
        <f t="shared" si="38"/>
        <v>0.80066536358834017</v>
      </c>
      <c r="FH36" s="184">
        <f t="shared" si="18"/>
        <v>4.6149498879982459E-2</v>
      </c>
      <c r="FJ36" s="184">
        <f t="shared" si="39"/>
        <v>4.6149498879982459E-2</v>
      </c>
      <c r="FK36" s="184">
        <f t="shared" si="19"/>
        <v>4.8862865973530394E-2</v>
      </c>
      <c r="FM36" s="184">
        <f t="shared" si="40"/>
        <v>4.8862865973530394E-2</v>
      </c>
      <c r="FN36" s="218"/>
      <c r="FO36" s="218">
        <f t="shared" si="20"/>
        <v>643582556556333</v>
      </c>
      <c r="FP36" s="218">
        <f t="shared" si="21"/>
        <v>803809663592778</v>
      </c>
      <c r="FQ36" s="218">
        <f t="shared" si="22"/>
        <v>32447378199999.996</v>
      </c>
      <c r="FR36" s="218">
        <f t="shared" si="23"/>
        <v>1876902280223920</v>
      </c>
      <c r="FS36" s="218">
        <f t="shared" si="24"/>
        <v>4375739520236.8105</v>
      </c>
      <c r="FT36" s="218">
        <f>intermediates!$B$69*data!EU36/intermediates!$B$71</f>
        <v>1.0917795185726247</v>
      </c>
      <c r="FU36" s="218">
        <f>(Y36+W36)*conversions!$C$1*1000000</f>
        <v>130371221940.89008</v>
      </c>
      <c r="FV36" s="218">
        <f t="shared" si="41"/>
        <v>119411675821.99687</v>
      </c>
      <c r="FW36" s="221">
        <f t="shared" si="25"/>
        <v>279866747317.4444</v>
      </c>
      <c r="FX36" s="221">
        <f t="shared" si="26"/>
        <v>160455071495.44751</v>
      </c>
      <c r="FY36" s="221">
        <f>FX36*intermediates!$B$72*1000*ER36/(intermediates!$B$71*10000*1000000000)</f>
        <v>14.014524856786862</v>
      </c>
      <c r="FZ36" s="221">
        <f t="shared" si="27"/>
        <v>3.1436774250338506</v>
      </c>
      <c r="GA36" s="218"/>
      <c r="GB36" s="218"/>
      <c r="GC36" s="218">
        <f t="shared" si="28"/>
        <v>7843429411831.8271</v>
      </c>
      <c r="GD36" s="218">
        <f t="shared" si="29"/>
        <v>12499035679386.082</v>
      </c>
      <c r="GE36" s="218">
        <f t="shared" si="30"/>
        <v>13811277849517.697</v>
      </c>
      <c r="GF36" s="218">
        <f t="shared" si="31"/>
        <v>637383551647.44348</v>
      </c>
      <c r="GG36" s="218">
        <f t="shared" si="32"/>
        <v>674858618484.17236</v>
      </c>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188">
        <f t="shared" si="4"/>
        <v>1980</v>
      </c>
    </row>
    <row r="37" spans="1:237" x14ac:dyDescent="0.3">
      <c r="A37" s="184">
        <v>1981</v>
      </c>
      <c r="B37" s="207">
        <v>4536996.6189999999</v>
      </c>
      <c r="C37" s="207">
        <v>1027033.0289999999</v>
      </c>
      <c r="D37" s="207">
        <f t="shared" si="1"/>
        <v>3509963.59</v>
      </c>
      <c r="H37" s="207">
        <f t="shared" si="5"/>
        <v>4536996619</v>
      </c>
      <c r="L37" s="187">
        <f t="shared" si="6"/>
        <v>4536996619</v>
      </c>
      <c r="M37" s="184">
        <v>6598.3863435297353</v>
      </c>
      <c r="N37" s="184">
        <v>4048.1886356305654</v>
      </c>
      <c r="O37" s="184">
        <v>2550.1977078991672</v>
      </c>
      <c r="P37" s="184">
        <v>2950.6058519495291</v>
      </c>
      <c r="Q37" s="184">
        <v>1237.762503039366</v>
      </c>
      <c r="R37" s="184">
        <v>1818.4592194840534</v>
      </c>
      <c r="S37" s="184">
        <v>189.15170287702821</v>
      </c>
      <c r="T37" s="184">
        <v>390.37714300387427</v>
      </c>
      <c r="U37" s="184">
        <v>0</v>
      </c>
      <c r="V37" s="184">
        <v>2.3758881296103446E-3</v>
      </c>
      <c r="W37" s="184">
        <v>12.027547287754285</v>
      </c>
      <c r="Z37" s="184">
        <v>5.1485214966506714</v>
      </c>
      <c r="AA37" s="184">
        <v>1.102055435045648</v>
      </c>
      <c r="AB37" s="184">
        <f>Z37*conversions!$C$6/conversions!$C$8</f>
        <v>18.865380957612466</v>
      </c>
      <c r="AC37" s="184">
        <f>AA37*conversions!$C$6/conversions!$C$8</f>
        <v>4.0381875907614848</v>
      </c>
      <c r="AD37" s="184">
        <f t="shared" si="7"/>
        <v>22.903568548373951</v>
      </c>
      <c r="AE37" s="212">
        <f t="shared" si="43"/>
        <v>6195.9792773499776</v>
      </c>
      <c r="AF37" s="212">
        <f t="shared" si="44"/>
        <v>3.6965211668961255</v>
      </c>
      <c r="AG37" s="184">
        <f>M37*conversions!$C$1*1000000/data!L37</f>
        <v>16967.430322840824</v>
      </c>
      <c r="AH37" s="184">
        <f>N37*conversions!$C$1*1000/C37</f>
        <v>45985.733741859964</v>
      </c>
      <c r="AI37" s="184">
        <f>O37*conversions!$C$1*1000/D37</f>
        <v>8476.5285534363484</v>
      </c>
      <c r="AK37" s="192">
        <f t="shared" si="45"/>
        <v>16967.430322840824</v>
      </c>
      <c r="AL37" s="192">
        <f t="shared" si="46"/>
        <v>76981174007846.906</v>
      </c>
      <c r="AM37" s="192">
        <f>data!AL37/(1000000*conversions!$C$1)</f>
        <v>6598.3863435297353</v>
      </c>
      <c r="AN37" s="192">
        <f t="shared" si="47"/>
        <v>6598.3863435297353</v>
      </c>
      <c r="AQ37" s="322">
        <v>9.9999999999999998E-13</v>
      </c>
      <c r="AR37" s="212">
        <f t="shared" si="58"/>
        <v>6.0241894455182319</v>
      </c>
      <c r="AT37" s="212">
        <f t="shared" si="48"/>
        <v>1.8228013125585305E-3</v>
      </c>
      <c r="BR37" s="212" t="str">
        <f t="shared" si="49"/>
        <v/>
      </c>
      <c r="CD37" s="173">
        <f t="shared" si="3"/>
        <v>1981</v>
      </c>
      <c r="CE37" s="173">
        <f t="shared" si="50"/>
        <v>2950.6058519495291</v>
      </c>
      <c r="CF37" s="173">
        <f t="shared" si="51"/>
        <v>1237.762503039366</v>
      </c>
      <c r="CG37" s="173">
        <f t="shared" si="52"/>
        <v>1818.4592194840534</v>
      </c>
      <c r="CH37" s="173">
        <f t="shared" si="53"/>
        <v>189.15170287702821</v>
      </c>
      <c r="CI37" s="173"/>
      <c r="CJ37" s="173">
        <f t="shared" si="54"/>
        <v>390.37714300387427</v>
      </c>
      <c r="CK37" s="173">
        <f t="shared" si="55"/>
        <v>12.027547287754285</v>
      </c>
      <c r="CL37" s="173">
        <v>0</v>
      </c>
      <c r="CM37" s="173"/>
      <c r="CN37" s="173">
        <f t="shared" si="62"/>
        <v>2.3758881296103446E-3</v>
      </c>
      <c r="CO37" s="173"/>
      <c r="CP37" s="174"/>
      <c r="CQ37" s="174"/>
      <c r="CR37" s="174"/>
      <c r="CT37" s="190">
        <f t="shared" si="56"/>
        <v>5.0481784474906943</v>
      </c>
      <c r="CU37" s="190">
        <f t="shared" si="57"/>
        <v>22.903568548373951</v>
      </c>
      <c r="CV37" s="198">
        <f t="shared" si="59"/>
        <v>1087.5626542722202</v>
      </c>
      <c r="CW37" s="198">
        <f t="shared" si="60"/>
        <v>1087.5626542722202</v>
      </c>
      <c r="CX37" s="198">
        <v>1087.5626542722202</v>
      </c>
      <c r="CY37" s="198">
        <f t="shared" si="61"/>
        <v>0</v>
      </c>
      <c r="CZ37" s="199">
        <f>IF(CX37&lt;intermediates!$B$55,intermediates!$B$56+(CX37-intermediates!$B$55)*intermediates!$B$53,intermediates!$B$56+(data!CX37-intermediates!$B$55)*intermediates!$B$58)</f>
        <v>0.56050799870843371</v>
      </c>
      <c r="DA37" s="220">
        <v>1421204.79</v>
      </c>
      <c r="DB37" s="220">
        <v>3246798.32</v>
      </c>
      <c r="DD37" s="209">
        <f t="shared" si="33"/>
        <v>5.6773146362995115E-5</v>
      </c>
      <c r="DE37" s="209">
        <f t="shared" si="34"/>
        <v>6.3081239172950443E-4</v>
      </c>
      <c r="DF37" s="209"/>
      <c r="DG37" s="201">
        <f t="shared" si="8"/>
        <v>14212047900000</v>
      </c>
      <c r="DH37" s="201">
        <f t="shared" si="8"/>
        <v>32467983200000</v>
      </c>
      <c r="DJ37" s="220">
        <v>6442660435996450</v>
      </c>
      <c r="DK37" s="220">
        <v>812995699239897</v>
      </c>
      <c r="DL37" s="220">
        <v>7255656135236350</v>
      </c>
      <c r="DM37" s="220">
        <v>1897502138518700</v>
      </c>
      <c r="DN37" s="220">
        <v>87367321514099.906</v>
      </c>
      <c r="DO37" s="220">
        <v>1984869460032800</v>
      </c>
      <c r="DP37" s="220">
        <v>3442331358371620</v>
      </c>
      <c r="DQ37" s="220">
        <v>651256108785775</v>
      </c>
      <c r="DR37" s="220">
        <v>4093587467157400</v>
      </c>
      <c r="DS37" s="220">
        <v>239798993047452</v>
      </c>
      <c r="DT37" s="220">
        <v>65991313100659</v>
      </c>
      <c r="DU37" s="220">
        <v>305790306148111</v>
      </c>
      <c r="DV37" s="220">
        <v>1067350182037390</v>
      </c>
      <c r="DW37" s="220">
        <v>1129461245057.6101</v>
      </c>
      <c r="DX37" s="220">
        <v>1068479643282450</v>
      </c>
      <c r="DY37" s="220">
        <v>283264415200416</v>
      </c>
      <c r="DZ37" s="220">
        <v>2428813502358.9702</v>
      </c>
      <c r="EA37" s="220">
        <v>285693228702775</v>
      </c>
      <c r="EB37" s="220">
        <v>284760669948037</v>
      </c>
      <c r="EC37" s="220">
        <v>9740398226015.6309</v>
      </c>
      <c r="ED37" s="220">
        <v>294501068174053</v>
      </c>
      <c r="EE37" s="212">
        <f t="shared" si="9"/>
        <v>2471.9674866476589</v>
      </c>
      <c r="EG37" s="212">
        <f t="shared" si="10"/>
        <v>0.15909177805794125</v>
      </c>
      <c r="EI37" s="212">
        <f t="shared" si="35"/>
        <v>0.15909177805794125</v>
      </c>
      <c r="EJ37" s="212">
        <v>0.33547204399633362</v>
      </c>
      <c r="EK37" s="212">
        <v>7.763401109057301E-2</v>
      </c>
      <c r="EL37" s="212">
        <v>5.9824902723735411E-2</v>
      </c>
      <c r="EM37" s="212">
        <v>0.29863269111249224</v>
      </c>
      <c r="EN37" s="212">
        <f t="shared" si="11"/>
        <v>2078.6977838954595</v>
      </c>
      <c r="EP37" s="212">
        <f t="shared" si="12"/>
        <v>393.26970275219622</v>
      </c>
      <c r="ER37" s="215">
        <f t="shared" si="13"/>
        <v>453.32386165096233</v>
      </c>
      <c r="ES37" s="209">
        <f t="shared" si="42"/>
        <v>24.390130211129303</v>
      </c>
      <c r="EU37" s="215">
        <f t="shared" si="14"/>
        <v>453.32386165096233</v>
      </c>
      <c r="EV37" s="216">
        <f>data!EU37*conversions!$C$13</f>
        <v>0.52721565110006918</v>
      </c>
      <c r="EW37" s="217">
        <f t="shared" si="15"/>
        <v>3.9936229958357279E-2</v>
      </c>
      <c r="EX37" s="217"/>
      <c r="EZ37" s="217">
        <f t="shared" si="36"/>
        <v>3.9936229958357279E-2</v>
      </c>
      <c r="FA37" s="212">
        <f t="shared" si="16"/>
        <v>2.333963316525232</v>
      </c>
      <c r="FD37" s="212">
        <f t="shared" si="37"/>
        <v>2.333963316525232</v>
      </c>
      <c r="FE37" s="184">
        <f t="shared" si="17"/>
        <v>0.80105726191991056</v>
      </c>
      <c r="FG37" s="184">
        <f t="shared" si="38"/>
        <v>0.80105726191991056</v>
      </c>
      <c r="FH37" s="184">
        <f t="shared" si="18"/>
        <v>4.3966994382904349E-2</v>
      </c>
      <c r="FJ37" s="184">
        <f t="shared" si="39"/>
        <v>4.3966994382904349E-2</v>
      </c>
      <c r="FK37" s="184">
        <f t="shared" si="19"/>
        <v>4.4199236134970177E-2</v>
      </c>
      <c r="FM37" s="184">
        <f t="shared" si="40"/>
        <v>4.4199236134970177E-2</v>
      </c>
      <c r="FN37" s="218"/>
      <c r="FO37" s="218">
        <f t="shared" si="20"/>
        <v>651256108785775</v>
      </c>
      <c r="FP37" s="218">
        <f t="shared" si="21"/>
        <v>812995699239897</v>
      </c>
      <c r="FQ37" s="218">
        <f t="shared" si="22"/>
        <v>32467983200000</v>
      </c>
      <c r="FR37" s="218">
        <f t="shared" si="23"/>
        <v>1897502138518700</v>
      </c>
      <c r="FS37" s="218">
        <f t="shared" si="24"/>
        <v>4185753936728.9819</v>
      </c>
      <c r="FT37" s="218">
        <f>intermediates!$B$69*data!EU37/intermediates!$B$71</f>
        <v>1.1538605410430285</v>
      </c>
      <c r="FU37" s="218">
        <f>(Y37+W37)*conversions!$C$1*1000000</f>
        <v>140321385023.79999</v>
      </c>
      <c r="FV37" s="218">
        <f t="shared" si="41"/>
        <v>121610350672.84381</v>
      </c>
      <c r="FW37" s="221">
        <f t="shared" si="25"/>
        <v>305184239421.69183</v>
      </c>
      <c r="FX37" s="221">
        <f t="shared" si="26"/>
        <v>183573888748.84802</v>
      </c>
      <c r="FY37" s="221">
        <f>FX37*intermediates!$B$72*1000*ER37/(intermediates!$B$71*10000*1000000000)</f>
        <v>16.94549332744948</v>
      </c>
      <c r="FZ37" s="221">
        <f t="shared" si="27"/>
        <v>3.7349583326743669</v>
      </c>
      <c r="GA37" s="218"/>
      <c r="GB37" s="218"/>
      <c r="GC37" s="218">
        <f t="shared" si="28"/>
        <v>7593536651335.7061</v>
      </c>
      <c r="GD37" s="218">
        <f t="shared" si="29"/>
        <v>12084474827486.379</v>
      </c>
      <c r="GE37" s="218">
        <f t="shared" si="30"/>
        <v>13252936260903.934</v>
      </c>
      <c r="GF37" s="218">
        <f t="shared" si="31"/>
        <v>582691774140.15259</v>
      </c>
      <c r="GG37" s="218">
        <f t="shared" si="32"/>
        <v>585769659277.40173</v>
      </c>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188">
        <f t="shared" si="4"/>
        <v>1981</v>
      </c>
    </row>
    <row r="38" spans="1:237" x14ac:dyDescent="0.3">
      <c r="A38" s="211">
        <v>1982</v>
      </c>
      <c r="B38" s="207">
        <v>4617386.5259999996</v>
      </c>
      <c r="C38" s="207">
        <v>1035867.3629999999</v>
      </c>
      <c r="D38" s="207">
        <f t="shared" si="1"/>
        <v>3581519.1629999997</v>
      </c>
      <c r="H38" s="207">
        <f t="shared" si="5"/>
        <v>4617386526</v>
      </c>
      <c r="L38" s="187">
        <f t="shared" si="6"/>
        <v>4617386526</v>
      </c>
      <c r="M38" s="184">
        <v>6570.4491412113302</v>
      </c>
      <c r="N38" s="184">
        <v>3935.9147993680326</v>
      </c>
      <c r="O38" s="184">
        <v>2634.5343418432967</v>
      </c>
      <c r="P38" s="184">
        <v>2859.6044246491538</v>
      </c>
      <c r="Q38" s="184">
        <v>1244.2380563821637</v>
      </c>
      <c r="R38" s="184">
        <v>1838.7119935623959</v>
      </c>
      <c r="S38" s="184">
        <v>207.41400680968877</v>
      </c>
      <c r="T38" s="184">
        <v>406.58984738630602</v>
      </c>
      <c r="U38" s="184">
        <v>0</v>
      </c>
      <c r="V38" s="184">
        <v>4.1860886093134644E-3</v>
      </c>
      <c r="W38" s="184">
        <v>13.886626333011179</v>
      </c>
      <c r="Z38" s="184">
        <v>5.1103021304094369</v>
      </c>
      <c r="AA38" s="184">
        <v>1.11744058761885</v>
      </c>
      <c r="AB38" s="184">
        <f>Z38*conversions!$C$6/conversions!$C$8</f>
        <v>18.725336305071252</v>
      </c>
      <c r="AC38" s="184">
        <f>AA38*conversions!$C$6/conversions!$C$8</f>
        <v>4.0945623703119374</v>
      </c>
      <c r="AD38" s="184">
        <f t="shared" si="7"/>
        <v>22.81989867538319</v>
      </c>
      <c r="AE38" s="212">
        <f t="shared" si="43"/>
        <v>6149.9684814034017</v>
      </c>
      <c r="AF38" s="212">
        <f t="shared" si="44"/>
        <v>3.7105716467307435</v>
      </c>
      <c r="AG38" s="184">
        <f>M38*conversions!$C$1*1000000/data!L38</f>
        <v>16601.434501781812</v>
      </c>
      <c r="AH38" s="184">
        <f>N38*conversions!$C$1*1000/C38</f>
        <v>44329.040215766552</v>
      </c>
      <c r="AI38" s="184">
        <f>O38*conversions!$C$1*1000/D38</f>
        <v>8581.8985154964521</v>
      </c>
      <c r="AK38" s="192">
        <f t="shared" si="45"/>
        <v>16601.434501781812</v>
      </c>
      <c r="AL38" s="192">
        <f t="shared" si="46"/>
        <v>76655239980798.859</v>
      </c>
      <c r="AM38" s="192">
        <f>data!AL38/(1000000*conversions!$C$1)</f>
        <v>6570.4491412113312</v>
      </c>
      <c r="AN38" s="192">
        <f t="shared" si="47"/>
        <v>6570.4491412113312</v>
      </c>
      <c r="AQ38" s="322">
        <v>9.9999999999999998E-13</v>
      </c>
      <c r="AR38" s="212">
        <f t="shared" si="58"/>
        <v>16.212704382431752</v>
      </c>
      <c r="AT38" s="212">
        <f t="shared" si="48"/>
        <v>2.1134972715808943E-3</v>
      </c>
      <c r="BR38" s="212" t="str">
        <f t="shared" si="49"/>
        <v/>
      </c>
      <c r="CD38" s="173">
        <f t="shared" ref="CD38:CD69" si="63">A38</f>
        <v>1982</v>
      </c>
      <c r="CE38" s="173">
        <f t="shared" si="50"/>
        <v>2859.6044246491538</v>
      </c>
      <c r="CF38" s="173">
        <f t="shared" si="51"/>
        <v>1244.2380563821637</v>
      </c>
      <c r="CG38" s="173">
        <f t="shared" si="52"/>
        <v>1838.7119935623959</v>
      </c>
      <c r="CH38" s="173">
        <f t="shared" si="53"/>
        <v>207.41400680968877</v>
      </c>
      <c r="CI38" s="173"/>
      <c r="CJ38" s="173">
        <f t="shared" si="54"/>
        <v>406.58984738630602</v>
      </c>
      <c r="CK38" s="173">
        <f t="shared" si="55"/>
        <v>13.886626333011179</v>
      </c>
      <c r="CL38" s="173">
        <v>0</v>
      </c>
      <c r="CM38" s="173"/>
      <c r="CN38" s="173">
        <f t="shared" si="62"/>
        <v>4.1860886093134644E-3</v>
      </c>
      <c r="CO38" s="173"/>
      <c r="CP38" s="174"/>
      <c r="CQ38" s="174"/>
      <c r="CR38" s="174"/>
      <c r="CT38" s="190">
        <f t="shared" si="56"/>
        <v>4.9421677277582958</v>
      </c>
      <c r="CU38" s="190">
        <f t="shared" si="57"/>
        <v>22.81989867538319</v>
      </c>
      <c r="CV38" s="198">
        <f t="shared" si="59"/>
        <v>1110.3825529476032</v>
      </c>
      <c r="CW38" s="198">
        <f t="shared" si="60"/>
        <v>1110.3825529476032</v>
      </c>
      <c r="CX38" s="198">
        <v>1110.3825529476032</v>
      </c>
      <c r="CY38" s="198">
        <f t="shared" si="61"/>
        <v>0</v>
      </c>
      <c r="CZ38" s="199">
        <f>IF(CX38&lt;intermediates!$B$55,intermediates!$B$56+(CX38-intermediates!$B$55)*intermediates!$B$53,intermediates!$B$56+(data!CX38-intermediates!$B$55)*intermediates!$B$58)</f>
        <v>0.57291745270980021</v>
      </c>
      <c r="DA38" s="220">
        <v>1432903.63</v>
      </c>
      <c r="DB38" s="220">
        <v>3252850.82</v>
      </c>
      <c r="DD38" s="209">
        <f t="shared" si="33"/>
        <v>7.4928358520487933E-3</v>
      </c>
      <c r="DE38" s="209">
        <f t="shared" si="34"/>
        <v>1.8529444314209296E-3</v>
      </c>
      <c r="DF38" s="209"/>
      <c r="DG38" s="201">
        <f t="shared" si="8"/>
        <v>14329036299999.998</v>
      </c>
      <c r="DH38" s="201">
        <f t="shared" si="8"/>
        <v>32528508200000</v>
      </c>
      <c r="DJ38" s="220">
        <v>6696141850766210</v>
      </c>
      <c r="DK38" s="220">
        <v>824397904243824</v>
      </c>
      <c r="DL38" s="220">
        <v>7520539755010040</v>
      </c>
      <c r="DM38" s="220">
        <v>1956529989671000</v>
      </c>
      <c r="DN38" s="220">
        <v>92223679178447.906</v>
      </c>
      <c r="DO38" s="220">
        <v>2048753668849440</v>
      </c>
      <c r="DP38" s="220">
        <v>3554496257426290</v>
      </c>
      <c r="DQ38" s="220">
        <v>658170278820947</v>
      </c>
      <c r="DR38" s="220">
        <v>4212666536247230</v>
      </c>
      <c r="DS38" s="220">
        <v>274776856635753</v>
      </c>
      <c r="DT38" s="220">
        <v>67119523702797.703</v>
      </c>
      <c r="DU38" s="220">
        <v>341896380338551</v>
      </c>
      <c r="DV38" s="220">
        <v>1126402401616940</v>
      </c>
      <c r="DW38" s="220">
        <v>1442322000725.8501</v>
      </c>
      <c r="DX38" s="220">
        <v>1127844723617670</v>
      </c>
      <c r="DY38" s="220">
        <v>280190429361070</v>
      </c>
      <c r="DZ38" s="220">
        <v>2485138941332.3398</v>
      </c>
      <c r="EA38" s="220">
        <v>282675568302402</v>
      </c>
      <c r="EB38" s="220">
        <v>301584392312638</v>
      </c>
      <c r="EC38" s="220">
        <v>10745775213239.6</v>
      </c>
      <c r="ED38" s="220">
        <v>312330167525878</v>
      </c>
      <c r="EE38" s="212">
        <f t="shared" si="9"/>
        <v>2499.5854449508997</v>
      </c>
      <c r="EG38" s="212">
        <f t="shared" si="10"/>
        <v>0.15623602607940215</v>
      </c>
      <c r="EI38" s="212">
        <f t="shared" si="35"/>
        <v>0.15623602607940215</v>
      </c>
      <c r="EJ38" s="212">
        <v>0.33682948756367997</v>
      </c>
      <c r="EK38" s="212">
        <v>7.603092783505154E-2</v>
      </c>
      <c r="EL38" s="212">
        <v>6.4563824544110401E-2</v>
      </c>
      <c r="EM38" s="212">
        <v>0.29583202757756188</v>
      </c>
      <c r="EN38" s="212">
        <f t="shared" si="11"/>
        <v>2109.0601481858612</v>
      </c>
      <c r="EP38" s="212">
        <f t="shared" si="12"/>
        <v>390.52529676504287</v>
      </c>
      <c r="ER38" s="215">
        <f t="shared" si="13"/>
        <v>467.31278437519285</v>
      </c>
      <c r="ES38" s="209">
        <f t="shared" si="42"/>
        <v>13.98892272423052</v>
      </c>
      <c r="EU38" s="215">
        <f t="shared" si="14"/>
        <v>467.31278437519285</v>
      </c>
      <c r="EV38" s="216">
        <f>data!EU38*conversions!$C$13</f>
        <v>0.54348476822834924</v>
      </c>
      <c r="EW38" s="217">
        <f t="shared" si="15"/>
        <v>3.9457291233456808E-2</v>
      </c>
      <c r="EX38" s="217"/>
      <c r="EZ38" s="217">
        <f t="shared" si="36"/>
        <v>3.9457291233456808E-2</v>
      </c>
      <c r="FA38" s="212">
        <f t="shared" si="16"/>
        <v>2.373283555912991</v>
      </c>
      <c r="FD38" s="212">
        <f t="shared" si="37"/>
        <v>2.373283555912991</v>
      </c>
      <c r="FE38" s="184">
        <f t="shared" si="17"/>
        <v>0.79836481319618502</v>
      </c>
      <c r="FG38" s="184">
        <f t="shared" si="38"/>
        <v>0.79836481319618502</v>
      </c>
      <c r="FH38" s="184">
        <f t="shared" si="18"/>
        <v>4.1843562398399467E-2</v>
      </c>
      <c r="FJ38" s="184">
        <f t="shared" si="39"/>
        <v>4.1843562398399467E-2</v>
      </c>
      <c r="FK38" s="184">
        <f t="shared" si="19"/>
        <v>4.503853099798491E-2</v>
      </c>
      <c r="FM38" s="184">
        <f t="shared" si="40"/>
        <v>4.503853099798491E-2</v>
      </c>
      <c r="FN38" s="218"/>
      <c r="FO38" s="218">
        <f t="shared" si="20"/>
        <v>658170278820947</v>
      </c>
      <c r="FP38" s="218">
        <f t="shared" si="21"/>
        <v>824397904243824</v>
      </c>
      <c r="FQ38" s="218">
        <f t="shared" si="22"/>
        <v>32528508200000</v>
      </c>
      <c r="FR38" s="218">
        <f t="shared" si="23"/>
        <v>1956529989671000</v>
      </c>
      <c r="FS38" s="218">
        <f t="shared" si="24"/>
        <v>4186767525067.6533</v>
      </c>
      <c r="FT38" s="218">
        <f>intermediates!$B$69*data!EU38/intermediates!$B$71</f>
        <v>1.1894670186822263</v>
      </c>
      <c r="FU38" s="218">
        <f>(Y38+W38)*conversions!$C$1*1000000</f>
        <v>162010640551.79709</v>
      </c>
      <c r="FV38" s="218">
        <f t="shared" si="41"/>
        <v>136204399119.26576</v>
      </c>
      <c r="FW38" s="221">
        <f t="shared" si="25"/>
        <v>349699408397.73083</v>
      </c>
      <c r="FX38" s="221">
        <f t="shared" si="26"/>
        <v>213495009278.46509</v>
      </c>
      <c r="FY38" s="221">
        <f>FX38*intermediates!$B$72*1000*ER38/(intermediates!$B$71*10000*1000000000)</f>
        <v>20.315621775199208</v>
      </c>
      <c r="FZ38" s="221">
        <f t="shared" si="27"/>
        <v>4.3998096457388085</v>
      </c>
      <c r="GA38" s="218"/>
      <c r="GB38" s="218"/>
      <c r="GC38" s="218">
        <f t="shared" si="28"/>
        <v>7606246557493.0234</v>
      </c>
      <c r="GD38" s="218">
        <f t="shared" si="29"/>
        <v>12142713490958.406</v>
      </c>
      <c r="GE38" s="218">
        <f t="shared" si="30"/>
        <v>13298078378644.213</v>
      </c>
      <c r="GF38" s="218">
        <f t="shared" si="31"/>
        <v>556438972415.60596</v>
      </c>
      <c r="GG38" s="218">
        <f t="shared" si="32"/>
        <v>598925915270.20032</v>
      </c>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188">
        <f t="shared" ref="HM38:HM69" si="64">A38</f>
        <v>1982</v>
      </c>
    </row>
    <row r="39" spans="1:237" x14ac:dyDescent="0.3">
      <c r="A39" s="184">
        <v>1983</v>
      </c>
      <c r="B39" s="207">
        <v>4699569.1869999999</v>
      </c>
      <c r="C39" s="207">
        <v>1044652.221</v>
      </c>
      <c r="D39" s="207">
        <f t="shared" si="1"/>
        <v>3654916.966</v>
      </c>
      <c r="H39" s="207">
        <f t="shared" si="5"/>
        <v>4699569187</v>
      </c>
      <c r="L39" s="187">
        <f t="shared" si="6"/>
        <v>4699569187</v>
      </c>
      <c r="M39" s="184">
        <v>6674.4513233960515</v>
      </c>
      <c r="N39" s="184">
        <v>3944.1753067759669</v>
      </c>
      <c r="O39" s="184">
        <v>2730.2760166200842</v>
      </c>
      <c r="P39" s="184">
        <v>2841.4952612419052</v>
      </c>
      <c r="Q39" s="184">
        <v>1264.2826636876096</v>
      </c>
      <c r="R39" s="184">
        <v>1895.1155809934576</v>
      </c>
      <c r="S39" s="184">
        <v>232.92725545977936</v>
      </c>
      <c r="T39" s="184">
        <v>425.23170070023929</v>
      </c>
      <c r="U39" s="184">
        <v>6.7882517988867002E-4</v>
      </c>
      <c r="V39" s="184">
        <v>7.4206791634496413E-3</v>
      </c>
      <c r="W39" s="184">
        <v>15.390761808715681</v>
      </c>
      <c r="Z39" s="184">
        <v>5.1587482385146686</v>
      </c>
      <c r="AA39" s="184">
        <v>1.1601088688595265</v>
      </c>
      <c r="AB39" s="184">
        <f>Z39*conversions!$C$6/conversions!$C$8</f>
        <v>18.902854119829033</v>
      </c>
      <c r="AC39" s="184">
        <f>AA39*conversions!$C$6/conversions!$C$8</f>
        <v>4.2509088827884938</v>
      </c>
      <c r="AD39" s="184">
        <f t="shared" si="7"/>
        <v>23.153763002617527</v>
      </c>
      <c r="AE39" s="212">
        <f t="shared" si="43"/>
        <v>6233.8207613827508</v>
      </c>
      <c r="AF39" s="212">
        <f t="shared" si="44"/>
        <v>3.7142169928995026</v>
      </c>
      <c r="AG39" s="184">
        <f>M39*conversions!$C$1*1000000/data!L39</f>
        <v>16569.305754313587</v>
      </c>
      <c r="AH39" s="184">
        <f>N39*conversions!$C$1*1000/C39</f>
        <v>44048.514571676715</v>
      </c>
      <c r="AI39" s="184">
        <f>O39*conversions!$C$1*1000/D39</f>
        <v>8715.1693158057315</v>
      </c>
      <c r="AK39" s="192">
        <f t="shared" si="45"/>
        <v>16569.305754313587</v>
      </c>
      <c r="AL39" s="192">
        <f t="shared" si="46"/>
        <v>77868598772953.922</v>
      </c>
      <c r="AM39" s="192">
        <f>data!AL39/(1000000*conversions!$C$1)</f>
        <v>6674.4513233960506</v>
      </c>
      <c r="AN39" s="192">
        <f t="shared" si="47"/>
        <v>6674.4513233960506</v>
      </c>
      <c r="AQ39" s="322">
        <v>9.9999999999999998E-13</v>
      </c>
      <c r="AR39" s="212">
        <f t="shared" si="58"/>
        <v>18.641853313933268</v>
      </c>
      <c r="AT39" s="212">
        <f t="shared" si="48"/>
        <v>2.305921650033797E-3</v>
      </c>
      <c r="BR39" s="212" t="str">
        <f t="shared" si="49"/>
        <v/>
      </c>
      <c r="CD39" s="173">
        <f t="shared" si="63"/>
        <v>1983</v>
      </c>
      <c r="CE39" s="173">
        <f t="shared" si="50"/>
        <v>2841.4952612419052</v>
      </c>
      <c r="CF39" s="173">
        <f t="shared" si="51"/>
        <v>1264.2826636876096</v>
      </c>
      <c r="CG39" s="173">
        <f t="shared" si="52"/>
        <v>1895.1155809934576</v>
      </c>
      <c r="CH39" s="173">
        <f t="shared" si="53"/>
        <v>232.92725545977936</v>
      </c>
      <c r="CI39" s="173"/>
      <c r="CJ39" s="173">
        <f t="shared" si="54"/>
        <v>425.23170070023929</v>
      </c>
      <c r="CK39" s="173">
        <f t="shared" si="55"/>
        <v>15.390761808715681</v>
      </c>
      <c r="CL39" s="173">
        <v>0</v>
      </c>
      <c r="CM39" s="173">
        <f t="shared" ref="CM39:CM74" si="65">U39</f>
        <v>6.7882517988867002E-4</v>
      </c>
      <c r="CN39" s="173">
        <f t="shared" si="62"/>
        <v>7.4206791634496413E-3</v>
      </c>
      <c r="CO39" s="173"/>
      <c r="CP39" s="174"/>
      <c r="CQ39" s="174"/>
      <c r="CR39" s="174"/>
      <c r="CT39" s="190">
        <f t="shared" si="56"/>
        <v>4.9267841543147659</v>
      </c>
      <c r="CU39" s="190">
        <f t="shared" si="57"/>
        <v>23.153763002617527</v>
      </c>
      <c r="CV39" s="198">
        <f t="shared" si="59"/>
        <v>1133.5363159502208</v>
      </c>
      <c r="CW39" s="198">
        <f t="shared" si="60"/>
        <v>1133.5363159502208</v>
      </c>
      <c r="CX39" s="198">
        <v>1133.5363159502208</v>
      </c>
      <c r="CY39" s="198">
        <f t="shared" si="61"/>
        <v>0</v>
      </c>
      <c r="CZ39" s="199">
        <f>IF(CX39&lt;intermediates!$B$55,intermediates!$B$56+(CX39-intermediates!$B$55)*intermediates!$B$53,intermediates!$B$56+(data!CX39-intermediates!$B$55)*intermediates!$B$58)</f>
        <v>0.58550846203139184</v>
      </c>
      <c r="DA39" s="220">
        <v>1438800.98</v>
      </c>
      <c r="DB39" s="220">
        <v>3255750.02</v>
      </c>
      <c r="DD39" s="209">
        <f t="shared" si="33"/>
        <v>3.7771159800528264E-3</v>
      </c>
      <c r="DE39" s="209">
        <f t="shared" si="34"/>
        <v>8.8757645527895988E-4</v>
      </c>
      <c r="DF39" s="209"/>
      <c r="DG39" s="201">
        <f t="shared" si="8"/>
        <v>14388009800000</v>
      </c>
      <c r="DH39" s="201">
        <f t="shared" si="8"/>
        <v>32557500200000</v>
      </c>
      <c r="DJ39" s="220">
        <v>6430376108866550</v>
      </c>
      <c r="DK39" s="220">
        <v>853996818483357</v>
      </c>
      <c r="DL39" s="220">
        <v>7284372927349910</v>
      </c>
      <c r="DM39" s="220">
        <v>1931803067981420</v>
      </c>
      <c r="DN39" s="220">
        <v>96742723868187.5</v>
      </c>
      <c r="DO39" s="220">
        <v>2028545791849600</v>
      </c>
      <c r="DP39" s="220">
        <v>3681198777155670</v>
      </c>
      <c r="DQ39" s="220">
        <v>679341597071056</v>
      </c>
      <c r="DR39" s="220">
        <v>4360540374226730</v>
      </c>
      <c r="DS39" s="220">
        <v>294746554095109</v>
      </c>
      <c r="DT39" s="220">
        <v>68752841232890.203</v>
      </c>
      <c r="DU39" s="220">
        <v>363499395328000</v>
      </c>
      <c r="DV39" s="220">
        <v>1125292198075950</v>
      </c>
      <c r="DW39" s="220">
        <v>1395205922070.24</v>
      </c>
      <c r="DX39" s="220">
        <v>1126687403998020</v>
      </c>
      <c r="DY39" s="220">
        <v>286572367874031</v>
      </c>
      <c r="DZ39" s="220">
        <v>2484860836342.27</v>
      </c>
      <c r="EA39" s="220">
        <v>289057228710374</v>
      </c>
      <c r="EB39" s="220">
        <v>307429548774310</v>
      </c>
      <c r="EC39" s="220">
        <v>10390075878349</v>
      </c>
      <c r="ED39" s="220">
        <v>317819624652659</v>
      </c>
      <c r="EE39" s="212">
        <f t="shared" si="9"/>
        <v>2542.0810890139919</v>
      </c>
      <c r="EG39" s="212">
        <f t="shared" si="10"/>
        <v>0.1557929840728802</v>
      </c>
      <c r="EI39" s="212">
        <f t="shared" si="35"/>
        <v>0.1557929840728802</v>
      </c>
      <c r="EJ39" s="212">
        <v>0.35050325636471286</v>
      </c>
      <c r="EK39" s="212">
        <v>7.5864943726552725E-2</v>
      </c>
      <c r="EL39" s="212">
        <v>6.25E-2</v>
      </c>
      <c r="EM39" s="212">
        <v>0.30309597523219817</v>
      </c>
      <c r="EN39" s="212">
        <f t="shared" si="11"/>
        <v>2146.0426904012629</v>
      </c>
      <c r="EP39" s="212">
        <f t="shared" si="12"/>
        <v>396.03839861272684</v>
      </c>
      <c r="ER39" s="215">
        <f t="shared" si="13"/>
        <v>446.92603064994785</v>
      </c>
      <c r="ES39" s="209">
        <f t="shared" si="42"/>
        <v>-20.386753725245001</v>
      </c>
      <c r="EU39" s="215">
        <f t="shared" si="14"/>
        <v>446.92603064994785</v>
      </c>
      <c r="EV39" s="216">
        <f>data!EU39*conversions!$C$13</f>
        <v>0.51977497364588932</v>
      </c>
      <c r="EW39" s="217">
        <f t="shared" si="15"/>
        <v>3.8123678561027906E-2</v>
      </c>
      <c r="EX39" s="217"/>
      <c r="EZ39" s="217">
        <f t="shared" si="36"/>
        <v>3.8123678561027906E-2</v>
      </c>
      <c r="FA39" s="212">
        <f t="shared" si="16"/>
        <v>2.2620729096065921</v>
      </c>
      <c r="FD39" s="212">
        <f t="shared" si="37"/>
        <v>2.2620729096065921</v>
      </c>
      <c r="FE39" s="184">
        <f t="shared" si="17"/>
        <v>0.79548492730631326</v>
      </c>
      <c r="FG39" s="184">
        <f t="shared" si="38"/>
        <v>0.79548492730631326</v>
      </c>
      <c r="FH39" s="184">
        <f t="shared" si="18"/>
        <v>4.4565413130172829E-2</v>
      </c>
      <c r="FJ39" s="184">
        <f t="shared" si="39"/>
        <v>4.4565413130172829E-2</v>
      </c>
      <c r="FK39" s="184">
        <f t="shared" si="19"/>
        <v>4.7808952939845856E-2</v>
      </c>
      <c r="FM39" s="184">
        <f t="shared" si="40"/>
        <v>4.7808952939845856E-2</v>
      </c>
      <c r="FN39" s="218"/>
      <c r="FO39" s="218">
        <f t="shared" si="20"/>
        <v>679341597071056</v>
      </c>
      <c r="FP39" s="218">
        <f t="shared" si="21"/>
        <v>853996818483357</v>
      </c>
      <c r="FQ39" s="218">
        <f t="shared" si="22"/>
        <v>32557500199999.996</v>
      </c>
      <c r="FR39" s="218">
        <f t="shared" si="23"/>
        <v>1931803067981420</v>
      </c>
      <c r="FS39" s="218">
        <f t="shared" si="24"/>
        <v>4322422359628.6636</v>
      </c>
      <c r="FT39" s="218">
        <f>intermediates!$B$69*data!EU39/intermediates!$B$71</f>
        <v>1.1375759256392701</v>
      </c>
      <c r="FU39" s="218">
        <f>(Y39+W39)*conversions!$C$1*1000000</f>
        <v>179558887768.34961</v>
      </c>
      <c r="FV39" s="218">
        <f t="shared" si="41"/>
        <v>157843431564.75031</v>
      </c>
      <c r="FW39" s="221">
        <f t="shared" si="25"/>
        <v>375114181217.10156</v>
      </c>
      <c r="FX39" s="221">
        <f t="shared" si="26"/>
        <v>217270749652.35126</v>
      </c>
      <c r="FY39" s="221">
        <f>FX39*intermediates!$B$72*1000*ER39/(intermediates!$B$71*10000*1000000000)</f>
        <v>19.772957932008929</v>
      </c>
      <c r="FZ39" s="221">
        <f t="shared" si="27"/>
        <v>4.2073979859058364</v>
      </c>
      <c r="GA39" s="218"/>
      <c r="GB39" s="218"/>
      <c r="GC39" s="218">
        <f t="shared" si="28"/>
        <v>8236707026892.6592</v>
      </c>
      <c r="GD39" s="218">
        <f t="shared" si="29"/>
        <v>12934243567738.424</v>
      </c>
      <c r="GE39" s="218">
        <f t="shared" si="30"/>
        <v>14250637139603.127</v>
      </c>
      <c r="GF39" s="218">
        <f t="shared" si="31"/>
        <v>635085531494.59778</v>
      </c>
      <c r="GG39" s="218">
        <f t="shared" si="32"/>
        <v>681308040370.10547</v>
      </c>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188">
        <f t="shared" si="64"/>
        <v>1983</v>
      </c>
    </row>
    <row r="40" spans="1:237" x14ac:dyDescent="0.3">
      <c r="A40" s="211">
        <v>1984</v>
      </c>
      <c r="B40" s="207">
        <v>4784011.517</v>
      </c>
      <c r="C40" s="207">
        <v>1053393.2409999997</v>
      </c>
      <c r="D40" s="207">
        <f t="shared" si="1"/>
        <v>3730618.2760000005</v>
      </c>
      <c r="H40" s="207">
        <f t="shared" si="5"/>
        <v>4784011517</v>
      </c>
      <c r="L40" s="187">
        <f t="shared" si="6"/>
        <v>4784011517</v>
      </c>
      <c r="M40" s="184">
        <v>6989.8118422460557</v>
      </c>
      <c r="N40" s="184">
        <v>4125.3589291894041</v>
      </c>
      <c r="O40" s="184">
        <v>2864.4529130566516</v>
      </c>
      <c r="P40" s="184">
        <v>2907.0156921202029</v>
      </c>
      <c r="Q40" s="184">
        <v>1367.3869725274778</v>
      </c>
      <c r="R40" s="184">
        <v>1977.4267006870755</v>
      </c>
      <c r="S40" s="184">
        <v>281.55864820421004</v>
      </c>
      <c r="T40" s="184">
        <v>439.21328316394863</v>
      </c>
      <c r="U40" s="184">
        <v>1.4280470450991263E-3</v>
      </c>
      <c r="V40" s="184">
        <v>1.0127066017005776E-2</v>
      </c>
      <c r="W40" s="184">
        <v>17.19899043007554</v>
      </c>
      <c r="Z40" s="184">
        <v>5.3088640374220608</v>
      </c>
      <c r="AA40" s="184">
        <v>1.1983848308555953</v>
      </c>
      <c r="AB40" s="184">
        <f>Z40*conversions!$C$6/conversions!$C$8</f>
        <v>19.452913342848035</v>
      </c>
      <c r="AC40" s="184">
        <f>AA40*conversions!$C$6/conversions!$C$8</f>
        <v>4.3911609153467115</v>
      </c>
      <c r="AD40" s="184">
        <f t="shared" si="7"/>
        <v>23.844074258194745</v>
      </c>
      <c r="AE40" s="212">
        <f t="shared" si="43"/>
        <v>6533.3880135389654</v>
      </c>
      <c r="AF40" s="212">
        <f t="shared" si="44"/>
        <v>3.6495726579813272</v>
      </c>
      <c r="AG40" s="184">
        <f>M40*conversions!$C$1*1000000/data!L40</f>
        <v>17045.904788569926</v>
      </c>
      <c r="AH40" s="184">
        <f>N40*conversions!$C$1*1000/C40</f>
        <v>45689.668049815904</v>
      </c>
      <c r="AI40" s="184">
        <f>O40*conversions!$C$1*1000/D40</f>
        <v>8957.929985489156</v>
      </c>
      <c r="AK40" s="192">
        <f t="shared" si="45"/>
        <v>17045.904788569926</v>
      </c>
      <c r="AL40" s="192">
        <f t="shared" si="46"/>
        <v>81547804826203.969</v>
      </c>
      <c r="AM40" s="192">
        <f>data!AL40/(1000000*conversions!$C$1)</f>
        <v>6989.8118422460548</v>
      </c>
      <c r="AN40" s="192">
        <f t="shared" si="47"/>
        <v>6989.8118422460548</v>
      </c>
      <c r="AQ40" s="322">
        <v>9.9999999999999998E-13</v>
      </c>
      <c r="AR40" s="212">
        <f t="shared" si="58"/>
        <v>13.981582463709344</v>
      </c>
      <c r="AT40" s="212">
        <f t="shared" si="48"/>
        <v>2.4605798865894712E-3</v>
      </c>
      <c r="BR40" s="212" t="str">
        <f t="shared" si="49"/>
        <v/>
      </c>
      <c r="CD40" s="173">
        <f t="shared" si="63"/>
        <v>1984</v>
      </c>
      <c r="CE40" s="173">
        <f t="shared" si="50"/>
        <v>2907.0156921202029</v>
      </c>
      <c r="CF40" s="173">
        <f t="shared" si="51"/>
        <v>1367.3869725274778</v>
      </c>
      <c r="CG40" s="173">
        <f t="shared" si="52"/>
        <v>1977.4267006870755</v>
      </c>
      <c r="CH40" s="173">
        <f t="shared" si="53"/>
        <v>281.55864820421004</v>
      </c>
      <c r="CI40" s="173"/>
      <c r="CJ40" s="173">
        <f t="shared" si="54"/>
        <v>439.21328316394863</v>
      </c>
      <c r="CK40" s="173">
        <f t="shared" si="55"/>
        <v>17.19899043007554</v>
      </c>
      <c r="CL40" s="173">
        <v>0</v>
      </c>
      <c r="CM40" s="173">
        <f t="shared" si="65"/>
        <v>1.4280470450991263E-3</v>
      </c>
      <c r="CN40" s="173">
        <f t="shared" si="62"/>
        <v>1.0127066017005776E-2</v>
      </c>
      <c r="CO40" s="173"/>
      <c r="CP40" s="174"/>
      <c r="CQ40" s="174"/>
      <c r="CR40" s="174"/>
      <c r="CT40" s="190">
        <f t="shared" si="56"/>
        <v>4.984117235810313</v>
      </c>
      <c r="CU40" s="190">
        <f t="shared" si="57"/>
        <v>23.844074258194741</v>
      </c>
      <c r="CV40" s="198">
        <f t="shared" si="59"/>
        <v>1157.3803902084157</v>
      </c>
      <c r="CW40" s="198">
        <f t="shared" si="60"/>
        <v>1157.3803902084157</v>
      </c>
      <c r="CX40" s="198">
        <v>1157.3803902084157</v>
      </c>
      <c r="CY40" s="198">
        <f t="shared" si="61"/>
        <v>0</v>
      </c>
      <c r="CZ40" s="199">
        <f>IF(CX40&lt;intermediates!$B$55,intermediates!$B$56+(CX40-intermediates!$B$55)*intermediates!$B$53,intermediates!$B$56+(data!CX40-intermediates!$B$55)*intermediates!$B$58)</f>
        <v>0.59847486240508996</v>
      </c>
      <c r="DA40" s="220">
        <v>1457708.48</v>
      </c>
      <c r="DB40" s="220">
        <v>3267016.12</v>
      </c>
      <c r="DD40" s="209">
        <f t="shared" si="33"/>
        <v>1.2109815492186777E-2</v>
      </c>
      <c r="DE40" s="209">
        <f t="shared" si="34"/>
        <v>3.4490635702323848E-3</v>
      </c>
      <c r="DF40" s="209"/>
      <c r="DG40" s="201">
        <f t="shared" si="8"/>
        <v>14577084800000</v>
      </c>
      <c r="DH40" s="201">
        <f t="shared" si="8"/>
        <v>32670161200000</v>
      </c>
      <c r="DJ40" s="220">
        <v>7027106706535490</v>
      </c>
      <c r="DK40" s="220">
        <v>874243687885219</v>
      </c>
      <c r="DL40" s="220">
        <v>7901350394420710</v>
      </c>
      <c r="DM40" s="220">
        <v>2040379781449090</v>
      </c>
      <c r="DN40" s="220">
        <v>100041331204017</v>
      </c>
      <c r="DO40" s="220">
        <v>2140421112653110</v>
      </c>
      <c r="DP40" s="220">
        <v>3754605513020910</v>
      </c>
      <c r="DQ40" s="220">
        <v>698518825388220</v>
      </c>
      <c r="DR40" s="220">
        <v>4453124338409130</v>
      </c>
      <c r="DS40" s="220">
        <v>308817168966652</v>
      </c>
      <c r="DT40" s="220">
        <v>75256965210833.297</v>
      </c>
      <c r="DU40" s="220">
        <v>384074134177485</v>
      </c>
      <c r="DV40" s="220">
        <v>1133320964482170</v>
      </c>
      <c r="DW40" s="220">
        <v>1910335903075.8301</v>
      </c>
      <c r="DX40" s="220">
        <v>1135231300385240</v>
      </c>
      <c r="DY40" s="220">
        <v>285682132269600</v>
      </c>
      <c r="DZ40" s="220">
        <v>2605337403210.0801</v>
      </c>
      <c r="EA40" s="220">
        <v>288287469672810</v>
      </c>
      <c r="EB40" s="220">
        <v>319752753305420</v>
      </c>
      <c r="EC40" s="220">
        <v>10504343153836.1</v>
      </c>
      <c r="ED40" s="220">
        <v>330257096459256</v>
      </c>
      <c r="EE40" s="212">
        <f t="shared" si="9"/>
        <v>2550.2322914193978</v>
      </c>
      <c r="EG40" s="212">
        <f t="shared" si="10"/>
        <v>0.15686039111087666</v>
      </c>
      <c r="EI40" s="212">
        <f t="shared" si="35"/>
        <v>0.15686039111087666</v>
      </c>
      <c r="EJ40" s="212">
        <v>0.35004423473901503</v>
      </c>
      <c r="EK40" s="212">
        <v>8.138101109741061E-2</v>
      </c>
      <c r="EL40" s="212">
        <v>6.5914221218961622E-2</v>
      </c>
      <c r="EM40" s="212">
        <v>0.30259541984732824</v>
      </c>
      <c r="EN40" s="212">
        <f t="shared" si="11"/>
        <v>2150.2018567637638</v>
      </c>
      <c r="EP40" s="212">
        <f t="shared" si="12"/>
        <v>400.03043465563388</v>
      </c>
      <c r="ER40" s="215">
        <f t="shared" si="13"/>
        <v>482.06529652180456</v>
      </c>
      <c r="ES40" s="209">
        <f t="shared" si="42"/>
        <v>35.139265871856708</v>
      </c>
      <c r="EU40" s="215">
        <f t="shared" si="14"/>
        <v>482.06529652180456</v>
      </c>
      <c r="EV40" s="216">
        <f>data!EU40*conversions!$C$13</f>
        <v>0.56064193985485866</v>
      </c>
      <c r="EW40" s="217">
        <f t="shared" si="15"/>
        <v>3.7369627773954625E-2</v>
      </c>
      <c r="EX40" s="217"/>
      <c r="EZ40" s="217">
        <f t="shared" si="36"/>
        <v>3.7369627773954625E-2</v>
      </c>
      <c r="FA40" s="212">
        <f t="shared" si="16"/>
        <v>2.3338799121155049</v>
      </c>
      <c r="FD40" s="212">
        <f t="shared" si="37"/>
        <v>2.3338799121155049</v>
      </c>
      <c r="FE40" s="184">
        <f t="shared" si="17"/>
        <v>0.79899784816053454</v>
      </c>
      <c r="FG40" s="184">
        <f t="shared" si="38"/>
        <v>0.79899784816053454</v>
      </c>
      <c r="FH40" s="184">
        <f t="shared" si="18"/>
        <v>4.0654303997391159E-2</v>
      </c>
      <c r="FJ40" s="184">
        <f t="shared" si="39"/>
        <v>4.0654303997391159E-2</v>
      </c>
      <c r="FK40" s="184">
        <f t="shared" si="19"/>
        <v>4.55027604758068E-2</v>
      </c>
      <c r="FM40" s="184">
        <f t="shared" si="40"/>
        <v>4.55027604758068E-2</v>
      </c>
      <c r="FN40" s="218"/>
      <c r="FO40" s="218">
        <f t="shared" si="20"/>
        <v>698518825388220</v>
      </c>
      <c r="FP40" s="218">
        <f t="shared" si="21"/>
        <v>874243687885219</v>
      </c>
      <c r="FQ40" s="218">
        <f t="shared" si="22"/>
        <v>32670161200000</v>
      </c>
      <c r="FR40" s="218">
        <f t="shared" si="23"/>
        <v>2040379781449089.8</v>
      </c>
      <c r="FS40" s="218">
        <f t="shared" si="24"/>
        <v>4232579686135.5278</v>
      </c>
      <c r="FT40" s="218">
        <f>intermediates!$B$69*data!EU40/intermediates!$B$71</f>
        <v>1.2270170862768139</v>
      </c>
      <c r="FU40" s="218">
        <f>(Y40+W40)*conversions!$C$1*1000000</f>
        <v>200654888350.88129</v>
      </c>
      <c r="FV40" s="218">
        <f t="shared" si="41"/>
        <v>163530639137.01175</v>
      </c>
      <c r="FW40" s="221">
        <f t="shared" si="25"/>
        <v>393021386928.00153</v>
      </c>
      <c r="FX40" s="221">
        <f t="shared" si="26"/>
        <v>229490747790.98978</v>
      </c>
      <c r="FY40" s="221">
        <f>FX40*intermediates!$B$72*1000*ER40/(intermediates!$B$71*10000*1000000000)</f>
        <v>22.527125494558998</v>
      </c>
      <c r="FZ40" s="221">
        <f t="shared" si="27"/>
        <v>4.7088359663242416</v>
      </c>
      <c r="GA40" s="218"/>
      <c r="GB40" s="218"/>
      <c r="GC40" s="218">
        <f t="shared" si="28"/>
        <v>7788582874791.2861</v>
      </c>
      <c r="GD40" s="218">
        <f t="shared" si="29"/>
        <v>12414183947854.816</v>
      </c>
      <c r="GE40" s="218">
        <f t="shared" si="30"/>
        <v>13584592565349.783</v>
      </c>
      <c r="GF40" s="218">
        <f t="shared" si="31"/>
        <v>552272155832.42993</v>
      </c>
      <c r="GG40" s="218">
        <f t="shared" si="32"/>
        <v>618136461662.53699</v>
      </c>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188">
        <f t="shared" si="64"/>
        <v>1984</v>
      </c>
    </row>
    <row r="41" spans="1:237" x14ac:dyDescent="0.3">
      <c r="A41" s="184">
        <v>1985</v>
      </c>
      <c r="B41" s="207">
        <v>4870921.6660000002</v>
      </c>
      <c r="C41" s="207">
        <v>1062098.675</v>
      </c>
      <c r="D41" s="207">
        <f t="shared" si="1"/>
        <v>3808822.9910000004</v>
      </c>
      <c r="H41" s="207">
        <f t="shared" si="5"/>
        <v>4870921666</v>
      </c>
      <c r="L41" s="187">
        <f t="shared" si="6"/>
        <v>4870921666</v>
      </c>
      <c r="M41" s="184">
        <v>7167.7375710370443</v>
      </c>
      <c r="N41" s="184">
        <v>4207.7085357173828</v>
      </c>
      <c r="O41" s="184">
        <v>2960.0290353196606</v>
      </c>
      <c r="P41" s="184">
        <v>2911.487621061242</v>
      </c>
      <c r="Q41" s="184">
        <v>1398.2073301367082</v>
      </c>
      <c r="R41" s="184">
        <v>2055.5737657486193</v>
      </c>
      <c r="S41" s="184">
        <v>336.91742806954056</v>
      </c>
      <c r="T41" s="184">
        <v>447.93179465542227</v>
      </c>
      <c r="U41" s="184">
        <v>2.6581605528973829E-3</v>
      </c>
      <c r="V41" s="184">
        <v>1.4531430062950112E-2</v>
      </c>
      <c r="W41" s="184">
        <v>17.602441774896104</v>
      </c>
      <c r="Z41" s="184">
        <v>5.4979833725130769</v>
      </c>
      <c r="AA41" s="184">
        <v>1.2182106482113499</v>
      </c>
      <c r="AB41" s="184">
        <f>Z41*conversions!$C$6/conversions!$C$8</f>
        <v>20.145890599573754</v>
      </c>
      <c r="AC41" s="184">
        <f>AA41*conversions!$C$6/conversions!$C$8</f>
        <v>4.4638073241177878</v>
      </c>
      <c r="AD41" s="184">
        <f t="shared" si="7"/>
        <v>24.609697923691542</v>
      </c>
      <c r="AE41" s="212">
        <f t="shared" si="43"/>
        <v>6702.1861450161105</v>
      </c>
      <c r="AF41" s="212">
        <f t="shared" si="44"/>
        <v>3.6718911398770748</v>
      </c>
      <c r="AG41" s="184">
        <f>M41*conversions!$C$1*1000000/data!L41</f>
        <v>17167.922362443551</v>
      </c>
      <c r="AH41" s="184">
        <f>N41*conversions!$C$1*1000/C41</f>
        <v>46219.747818349169</v>
      </c>
      <c r="AI41" s="184">
        <f>O41*conversions!$C$1*1000/D41</f>
        <v>9066.7568853501925</v>
      </c>
      <c r="AK41" s="192">
        <f t="shared" si="45"/>
        <v>17167.922362443551</v>
      </c>
      <c r="AL41" s="192">
        <f t="shared" si="46"/>
        <v>83623604995432.203</v>
      </c>
      <c r="AM41" s="192">
        <f>data!AL41/(1000000*conversions!$C$1)</f>
        <v>7167.7375710370461</v>
      </c>
      <c r="AN41" s="192">
        <f t="shared" si="47"/>
        <v>7167.7375710370461</v>
      </c>
      <c r="AQ41" s="322">
        <v>9.9999999999999998E-13</v>
      </c>
      <c r="AR41" s="212">
        <f t="shared" si="58"/>
        <v>8.7185114914736346</v>
      </c>
      <c r="AT41" s="212">
        <f t="shared" si="48"/>
        <v>2.4557877015507611E-3</v>
      </c>
      <c r="BR41" s="212" t="str">
        <f t="shared" si="49"/>
        <v/>
      </c>
      <c r="CD41" s="173">
        <f t="shared" si="63"/>
        <v>1985</v>
      </c>
      <c r="CE41" s="173">
        <f t="shared" si="50"/>
        <v>2911.487621061242</v>
      </c>
      <c r="CF41" s="173">
        <f t="shared" si="51"/>
        <v>1398.2073301367082</v>
      </c>
      <c r="CG41" s="173">
        <f t="shared" si="52"/>
        <v>2055.5737657486193</v>
      </c>
      <c r="CH41" s="173">
        <f t="shared" si="53"/>
        <v>336.91742806954056</v>
      </c>
      <c r="CI41" s="173"/>
      <c r="CJ41" s="173">
        <f t="shared" si="54"/>
        <v>447.93179465542227</v>
      </c>
      <c r="CK41" s="173">
        <f t="shared" si="55"/>
        <v>17.602441774896104</v>
      </c>
      <c r="CL41" s="173">
        <v>0</v>
      </c>
      <c r="CM41" s="173">
        <f t="shared" si="65"/>
        <v>2.6581605528973829E-3</v>
      </c>
      <c r="CN41" s="173">
        <f t="shared" si="62"/>
        <v>1.4531430062950112E-2</v>
      </c>
      <c r="CO41" s="173"/>
      <c r="CP41" s="174"/>
      <c r="CQ41" s="174"/>
      <c r="CR41" s="174"/>
      <c r="CT41" s="190">
        <f t="shared" si="56"/>
        <v>5.052369882166678</v>
      </c>
      <c r="CU41" s="190">
        <f t="shared" si="57"/>
        <v>24.609697923691538</v>
      </c>
      <c r="CV41" s="198">
        <f t="shared" si="59"/>
        <v>1181.9900881321073</v>
      </c>
      <c r="CW41" s="198">
        <f t="shared" si="60"/>
        <v>1181.9900881321073</v>
      </c>
      <c r="CX41" s="198">
        <v>1181.9900881321073</v>
      </c>
      <c r="CY41" s="198">
        <f t="shared" si="61"/>
        <v>0</v>
      </c>
      <c r="CZ41" s="199">
        <f>IF(CX41&lt;intermediates!$B$55,intermediates!$B$56+(CX41-intermediates!$B$55)*intermediates!$B$53,intermediates!$B$56+(data!CX41-intermediates!$B$55)*intermediates!$B$58)</f>
        <v>0.61185760869664185</v>
      </c>
      <c r="DA41" s="220">
        <v>1473868.057</v>
      </c>
      <c r="DB41" s="220">
        <v>3282393.72</v>
      </c>
      <c r="DD41" s="209">
        <f t="shared" si="33"/>
        <v>1.0349834504920571E-2</v>
      </c>
      <c r="DE41" s="209">
        <f t="shared" si="34"/>
        <v>4.7077799733364163E-3</v>
      </c>
      <c r="DF41" s="209"/>
      <c r="DG41" s="201">
        <f t="shared" si="8"/>
        <v>14738680570000</v>
      </c>
      <c r="DH41" s="201">
        <f t="shared" si="8"/>
        <v>32823937200000.004</v>
      </c>
      <c r="DJ41" s="220">
        <v>7169354122322880</v>
      </c>
      <c r="DK41" s="220">
        <v>895946362969099</v>
      </c>
      <c r="DL41" s="220">
        <v>8065300485291980</v>
      </c>
      <c r="DM41" s="220">
        <v>2032379141095420</v>
      </c>
      <c r="DN41" s="220">
        <v>98089414941757.594</v>
      </c>
      <c r="DO41" s="220">
        <v>2130468556037180</v>
      </c>
      <c r="DP41" s="220">
        <v>3814551953837100</v>
      </c>
      <c r="DQ41" s="220">
        <v>725392831755101</v>
      </c>
      <c r="DR41" s="220">
        <v>4539944785592200</v>
      </c>
      <c r="DS41" s="220">
        <v>324693915653831</v>
      </c>
      <c r="DT41" s="220">
        <v>73829210889560.5</v>
      </c>
      <c r="DU41" s="220">
        <v>398523126543391</v>
      </c>
      <c r="DV41" s="220">
        <v>1150718836096170</v>
      </c>
      <c r="DW41" s="220">
        <v>1648421733611.5601</v>
      </c>
      <c r="DX41" s="220">
        <v>1152367257829780</v>
      </c>
      <c r="DY41" s="220">
        <v>286165724968190</v>
      </c>
      <c r="DZ41" s="220">
        <v>2740890803723.1299</v>
      </c>
      <c r="EA41" s="220">
        <v>288906615771913</v>
      </c>
      <c r="EB41" s="220">
        <v>324513669218606</v>
      </c>
      <c r="EC41" s="220">
        <v>11029894728143.9</v>
      </c>
      <c r="ED41" s="220">
        <v>335543563946750</v>
      </c>
      <c r="EE41" s="212">
        <f t="shared" si="9"/>
        <v>2553.5629075816519</v>
      </c>
      <c r="EG41" s="212">
        <f t="shared" si="10"/>
        <v>0.15978009998209244</v>
      </c>
      <c r="EI41" s="212">
        <f t="shared" si="35"/>
        <v>0.15978009998209244</v>
      </c>
      <c r="EJ41" s="212">
        <v>0.34794040315512709</v>
      </c>
      <c r="EK41" s="212">
        <v>9.1395636064223962E-2</v>
      </c>
      <c r="EL41" s="212">
        <v>6.9972196478220575E-2</v>
      </c>
      <c r="EM41" s="212">
        <v>0.30088757396449706</v>
      </c>
      <c r="EN41" s="212">
        <f t="shared" si="11"/>
        <v>2145.5543708976934</v>
      </c>
      <c r="EP41" s="212">
        <f t="shared" si="12"/>
        <v>408.00853668395905</v>
      </c>
      <c r="ER41" s="215">
        <f t="shared" si="13"/>
        <v>486.43120313739723</v>
      </c>
      <c r="ES41" s="209">
        <f t="shared" si="42"/>
        <v>4.365906615592678</v>
      </c>
      <c r="EU41" s="215">
        <f t="shared" si="14"/>
        <v>486.43120313739723</v>
      </c>
      <c r="EV41" s="216">
        <f>data!EU41*conversions!$C$13</f>
        <v>0.56571948924879301</v>
      </c>
      <c r="EW41" s="217">
        <f t="shared" si="15"/>
        <v>3.6636051617223983E-2</v>
      </c>
      <c r="EX41" s="217"/>
      <c r="EZ41" s="217">
        <f t="shared" si="36"/>
        <v>3.6636051617223983E-2</v>
      </c>
      <c r="FA41" s="212">
        <f t="shared" si="16"/>
        <v>2.2684160850436048</v>
      </c>
      <c r="FD41" s="212">
        <f t="shared" si="37"/>
        <v>2.2684160850436048</v>
      </c>
      <c r="FE41" s="184">
        <f t="shared" si="17"/>
        <v>0.80963868121658933</v>
      </c>
      <c r="FG41" s="184">
        <f t="shared" si="38"/>
        <v>0.80963868121658933</v>
      </c>
      <c r="FH41" s="184">
        <f t="shared" si="18"/>
        <v>3.9915133230365794E-2</v>
      </c>
      <c r="FJ41" s="184">
        <f t="shared" si="39"/>
        <v>3.9915133230365794E-2</v>
      </c>
      <c r="FK41" s="184">
        <f t="shared" si="19"/>
        <v>4.5264003379074706E-2</v>
      </c>
      <c r="FM41" s="184">
        <f t="shared" si="40"/>
        <v>4.5264003379074706E-2</v>
      </c>
      <c r="FN41" s="218"/>
      <c r="FO41" s="218">
        <f t="shared" si="20"/>
        <v>725392831755101</v>
      </c>
      <c r="FP41" s="218">
        <f t="shared" si="21"/>
        <v>895946362969099</v>
      </c>
      <c r="FQ41" s="218">
        <f t="shared" si="22"/>
        <v>32823937200000.004</v>
      </c>
      <c r="FR41" s="218">
        <f t="shared" si="23"/>
        <v>2032379141095420</v>
      </c>
      <c r="FS41" s="218">
        <f t="shared" si="24"/>
        <v>4178143030272.165</v>
      </c>
      <c r="FT41" s="218">
        <f>intermediates!$B$69*data!EU41/intermediates!$B$71</f>
        <v>1.2381297758918377</v>
      </c>
      <c r="FU41" s="218">
        <f>(Y41+W41)*conversions!$C$1*1000000</f>
        <v>205361820707.12119</v>
      </c>
      <c r="FV41" s="218">
        <f t="shared" si="41"/>
        <v>165864535936.2244</v>
      </c>
      <c r="FW41" s="221">
        <f t="shared" si="25"/>
        <v>413227196805.0213</v>
      </c>
      <c r="FX41" s="221">
        <f t="shared" si="26"/>
        <v>247362660868.79691</v>
      </c>
      <c r="FY41" s="221">
        <f>FX41*intermediates!$B$72*1000*ER41/(intermediates!$B$71*10000*1000000000)</f>
        <v>24.501366069239378</v>
      </c>
      <c r="FZ41" s="221">
        <f t="shared" si="27"/>
        <v>5.0301293572967465</v>
      </c>
      <c r="GA41" s="218"/>
      <c r="GB41" s="218"/>
      <c r="GC41" s="218">
        <f t="shared" si="28"/>
        <v>7841914600120.0137</v>
      </c>
      <c r="GD41" s="218">
        <f t="shared" si="29"/>
        <v>12433284827197.199</v>
      </c>
      <c r="GE41" s="218">
        <f t="shared" si="30"/>
        <v>13590950233815.475</v>
      </c>
      <c r="GF41" s="218">
        <f t="shared" si="31"/>
        <v>542484589310.01581</v>
      </c>
      <c r="GG41" s="218">
        <f t="shared" si="32"/>
        <v>615180817308.25977</v>
      </c>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188">
        <f t="shared" si="64"/>
        <v>1985</v>
      </c>
    </row>
    <row r="42" spans="1:237" x14ac:dyDescent="0.3">
      <c r="A42" s="211">
        <v>1986</v>
      </c>
      <c r="B42" s="207">
        <v>4960568</v>
      </c>
      <c r="C42" s="207">
        <v>1070769.2659999998</v>
      </c>
      <c r="D42" s="207">
        <f t="shared" si="1"/>
        <v>3889798.7340000002</v>
      </c>
      <c r="H42" s="207">
        <f t="shared" si="5"/>
        <v>4960568000</v>
      </c>
      <c r="L42" s="187">
        <f t="shared" si="6"/>
        <v>4960568000</v>
      </c>
      <c r="M42" s="184">
        <v>7325.4299559040583</v>
      </c>
      <c r="N42" s="184">
        <v>4255.1985930754372</v>
      </c>
      <c r="O42" s="184">
        <v>3070.2313628286192</v>
      </c>
      <c r="P42" s="184">
        <v>2999.816066279735</v>
      </c>
      <c r="Q42" s="184">
        <v>1411.9247004357276</v>
      </c>
      <c r="R42" s="184">
        <v>2079.3598747030605</v>
      </c>
      <c r="S42" s="184">
        <v>360.86129802330902</v>
      </c>
      <c r="T42" s="184">
        <v>454.06874326587246</v>
      </c>
      <c r="U42" s="184">
        <v>3.4357239407698591E-3</v>
      </c>
      <c r="V42" s="184">
        <v>3.1414063703514628E-2</v>
      </c>
      <c r="W42" s="184">
        <v>19.364423408710149</v>
      </c>
      <c r="Z42" s="184">
        <v>5.5762670621050612</v>
      </c>
      <c r="AA42" s="184">
        <v>1.2537486936145836</v>
      </c>
      <c r="AB42" s="184">
        <f>Z42*conversions!$C$6/conversions!$C$8</f>
        <v>20.432740256874599</v>
      </c>
      <c r="AC42" s="184">
        <f>AA42*conversions!$C$6/conversions!$C$8</f>
        <v>4.5940269930959747</v>
      </c>
      <c r="AD42" s="184">
        <f t="shared" si="7"/>
        <v>25.026767249970575</v>
      </c>
      <c r="AE42" s="212">
        <f t="shared" si="43"/>
        <v>6851.9619394418323</v>
      </c>
      <c r="AF42" s="212">
        <f t="shared" si="44"/>
        <v>3.6524965361978183</v>
      </c>
      <c r="AG42" s="184">
        <f>M42*conversions!$C$1*1000000/data!L42</f>
        <v>17228.541063351484</v>
      </c>
      <c r="AH42" s="184">
        <f>N42*conversions!$C$1*1000/C42</f>
        <v>46362.914179757667</v>
      </c>
      <c r="AI42" s="184">
        <f>O42*conversions!$C$1*1000/D42</f>
        <v>9208.5396569691075</v>
      </c>
      <c r="AK42" s="192">
        <f t="shared" si="45"/>
        <v>17228.541063351484</v>
      </c>
      <c r="AL42" s="192">
        <f t="shared" si="46"/>
        <v>85463349485547.344</v>
      </c>
      <c r="AM42" s="192">
        <f>data!AL42/(1000000*conversions!$C$1)</f>
        <v>7325.4299559040583</v>
      </c>
      <c r="AN42" s="192">
        <f t="shared" si="47"/>
        <v>7325.4299559040583</v>
      </c>
      <c r="AQ42" s="322">
        <v>9.9999999999999998E-13</v>
      </c>
      <c r="AR42" s="212">
        <f t="shared" si="58"/>
        <v>6.1369486104501902</v>
      </c>
      <c r="AT42" s="212">
        <f t="shared" si="48"/>
        <v>2.6434521284451097E-3</v>
      </c>
      <c r="BR42" s="212" t="str">
        <f t="shared" si="49"/>
        <v/>
      </c>
      <c r="CD42" s="173">
        <f t="shared" si="63"/>
        <v>1986</v>
      </c>
      <c r="CE42" s="173">
        <f t="shared" si="50"/>
        <v>2999.816066279735</v>
      </c>
      <c r="CF42" s="173">
        <f t="shared" si="51"/>
        <v>1411.9247004357276</v>
      </c>
      <c r="CG42" s="173">
        <f t="shared" si="52"/>
        <v>2079.3598747030605</v>
      </c>
      <c r="CH42" s="173">
        <f t="shared" si="53"/>
        <v>360.86129802330902</v>
      </c>
      <c r="CI42" s="173"/>
      <c r="CJ42" s="173">
        <f t="shared" si="54"/>
        <v>454.06874326587246</v>
      </c>
      <c r="CK42" s="173">
        <f t="shared" si="55"/>
        <v>19.364423408710149</v>
      </c>
      <c r="CL42" s="173">
        <v>0</v>
      </c>
      <c r="CM42" s="173">
        <f t="shared" si="65"/>
        <v>3.4357239407698591E-3</v>
      </c>
      <c r="CN42" s="173">
        <f t="shared" si="62"/>
        <v>3.1414063703514628E-2</v>
      </c>
      <c r="CO42" s="173"/>
      <c r="CP42" s="174"/>
      <c r="CQ42" s="174"/>
      <c r="CR42" s="174"/>
      <c r="CT42" s="190">
        <f t="shared" si="56"/>
        <v>5.0451414535534189</v>
      </c>
      <c r="CU42" s="190">
        <f t="shared" si="57"/>
        <v>25.026767249970579</v>
      </c>
      <c r="CV42" s="198">
        <f t="shared" si="59"/>
        <v>1207.0168553820777</v>
      </c>
      <c r="CW42" s="198">
        <f t="shared" si="60"/>
        <v>1207.0168553820777</v>
      </c>
      <c r="CX42" s="198">
        <v>1207.0168553820777</v>
      </c>
      <c r="CY42" s="198">
        <f t="shared" si="61"/>
        <v>0</v>
      </c>
      <c r="CZ42" s="199">
        <f>IF(CX42&lt;intermediates!$B$55,intermediates!$B$56+(CX42-intermediates!$B$55)*intermediates!$B$53,intermediates!$B$56+(data!CX42-intermediates!$B$55)*intermediates!$B$58)</f>
        <v>0.62546715716174706</v>
      </c>
      <c r="DA42" s="220">
        <v>1481209.192</v>
      </c>
      <c r="DB42" s="220">
        <v>3279659.22</v>
      </c>
      <c r="DD42" s="209">
        <f t="shared" si="33"/>
        <v>4.7018268069937688E-3</v>
      </c>
      <c r="DE42" s="209">
        <f t="shared" si="34"/>
        <v>-8.3715432428261584E-4</v>
      </c>
      <c r="DF42" s="209"/>
      <c r="DG42" s="201">
        <f t="shared" si="8"/>
        <v>14812091920000</v>
      </c>
      <c r="DH42" s="201">
        <f t="shared" si="8"/>
        <v>32796592200000.004</v>
      </c>
      <c r="DJ42" s="220">
        <v>7209181898474700</v>
      </c>
      <c r="DK42" s="220">
        <v>918010259164423</v>
      </c>
      <c r="DL42" s="220">
        <v>8127192157639120</v>
      </c>
      <c r="DM42" s="220">
        <v>2105254338624420</v>
      </c>
      <c r="DN42" s="220">
        <v>101042721337344</v>
      </c>
      <c r="DO42" s="220">
        <v>2206297059961760</v>
      </c>
      <c r="DP42" s="220">
        <v>3891702157983090</v>
      </c>
      <c r="DQ42" s="220">
        <v>735082694373777</v>
      </c>
      <c r="DR42" s="220">
        <v>4626784852356860</v>
      </c>
      <c r="DS42" s="220">
        <v>305964342509765</v>
      </c>
      <c r="DT42" s="220">
        <v>77202058383177.406</v>
      </c>
      <c r="DU42" s="220">
        <v>383166400892943</v>
      </c>
      <c r="DV42" s="220">
        <v>1167590846457930</v>
      </c>
      <c r="DW42" s="220">
        <v>1210559829539.27</v>
      </c>
      <c r="DX42" s="220">
        <v>1168801406287470</v>
      </c>
      <c r="DY42" s="220">
        <v>281606556677359</v>
      </c>
      <c r="DZ42" s="220">
        <v>2900201938313.1001</v>
      </c>
      <c r="EA42" s="220">
        <v>284506758615672</v>
      </c>
      <c r="EB42" s="220">
        <v>331834887369682</v>
      </c>
      <c r="EC42" s="220">
        <v>11902403842264</v>
      </c>
      <c r="ED42" s="220">
        <v>343737291211946</v>
      </c>
      <c r="EE42" s="212">
        <f t="shared" si="9"/>
        <v>2555.3773042057842</v>
      </c>
      <c r="EG42" s="212">
        <f t="shared" si="10"/>
        <v>0.15887548650534933</v>
      </c>
      <c r="EI42" s="212">
        <f t="shared" si="35"/>
        <v>0.15887548650534933</v>
      </c>
      <c r="EJ42" s="212">
        <v>0.33499706400469759</v>
      </c>
      <c r="EK42" s="212">
        <v>9.4884488448844881E-2</v>
      </c>
      <c r="EL42" s="212">
        <v>7.1296296296296302E-2</v>
      </c>
      <c r="EM42" s="212">
        <v>0.29922434367541767</v>
      </c>
      <c r="EN42" s="212">
        <f t="shared" si="11"/>
        <v>2149.3904917953664</v>
      </c>
      <c r="EP42" s="212">
        <f t="shared" si="12"/>
        <v>405.98681241042203</v>
      </c>
      <c r="ER42" s="215">
        <f t="shared" si="13"/>
        <v>486.70923306521718</v>
      </c>
      <c r="ES42" s="209">
        <f t="shared" si="42"/>
        <v>0.27802992781994362</v>
      </c>
      <c r="EU42" s="215">
        <f t="shared" si="14"/>
        <v>486.70923306521718</v>
      </c>
      <c r="EV42" s="216">
        <f>data!EU42*conversions!$C$13</f>
        <v>0.56604283805484756</v>
      </c>
      <c r="EW42" s="217">
        <f t="shared" si="15"/>
        <v>3.5725736038997653E-2</v>
      </c>
      <c r="EX42" s="217"/>
      <c r="EZ42" s="217">
        <f t="shared" si="36"/>
        <v>3.5725736038997653E-2</v>
      </c>
      <c r="FA42" s="212">
        <f t="shared" si="16"/>
        <v>2.2932797510788516</v>
      </c>
      <c r="FD42" s="212">
        <f t="shared" si="37"/>
        <v>2.2932797510788516</v>
      </c>
      <c r="FE42" s="184">
        <f t="shared" si="17"/>
        <v>0.80073472712914184</v>
      </c>
      <c r="FG42" s="184">
        <f t="shared" si="38"/>
        <v>0.80073472712914184</v>
      </c>
      <c r="FH42" s="184">
        <f t="shared" si="18"/>
        <v>3.906220714682488E-2</v>
      </c>
      <c r="FJ42" s="184">
        <f t="shared" si="39"/>
        <v>3.906220714682488E-2</v>
      </c>
      <c r="FK42" s="184">
        <f t="shared" si="19"/>
        <v>4.6029479078602629E-2</v>
      </c>
      <c r="FM42" s="184">
        <f t="shared" si="40"/>
        <v>4.6029479078602629E-2</v>
      </c>
      <c r="FN42" s="218"/>
      <c r="FO42" s="218">
        <f t="shared" si="20"/>
        <v>735082694373777</v>
      </c>
      <c r="FP42" s="218">
        <f t="shared" si="21"/>
        <v>918010259164423</v>
      </c>
      <c r="FQ42" s="218">
        <f t="shared" si="22"/>
        <v>32796592200000.004</v>
      </c>
      <c r="FR42" s="218">
        <f t="shared" si="23"/>
        <v>2105254338624420</v>
      </c>
      <c r="FS42" s="218">
        <f t="shared" si="24"/>
        <v>4325486749790.7607</v>
      </c>
      <c r="FT42" s="218">
        <f>intermediates!$B$69*data!EU42/intermediates!$B$71</f>
        <v>1.2388374548606265</v>
      </c>
      <c r="FU42" s="218">
        <f>(Y42+W42)*conversions!$C$1*1000000</f>
        <v>225918273101.61841</v>
      </c>
      <c r="FV42" s="218">
        <f t="shared" si="41"/>
        <v>182363127797.93619</v>
      </c>
      <c r="FW42" s="221">
        <f t="shared" si="25"/>
        <v>389390689144.90094</v>
      </c>
      <c r="FX42" s="221">
        <f t="shared" si="26"/>
        <v>207027561346.96475</v>
      </c>
      <c r="FY42" s="221">
        <f>FX42*intermediates!$B$72*1000*ER42/(intermediates!$B$71*10000*1000000000)</f>
        <v>20.517879774806083</v>
      </c>
      <c r="FZ42" s="221">
        <f t="shared" si="27"/>
        <v>4.1361956483221443</v>
      </c>
      <c r="GA42" s="218"/>
      <c r="GB42" s="218"/>
      <c r="GC42" s="218">
        <f t="shared" si="28"/>
        <v>7995948902538.3193</v>
      </c>
      <c r="GD42" s="218">
        <f t="shared" si="29"/>
        <v>12710826341473.98</v>
      </c>
      <c r="GE42" s="218">
        <f t="shared" si="30"/>
        <v>13893005616086.08</v>
      </c>
      <c r="GF42" s="218">
        <f t="shared" si="31"/>
        <v>542691463267.55585</v>
      </c>
      <c r="GG42" s="218">
        <f t="shared" si="32"/>
        <v>639487811344.54309</v>
      </c>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188">
        <f t="shared" si="64"/>
        <v>1986</v>
      </c>
    </row>
    <row r="43" spans="1:237" x14ac:dyDescent="0.3">
      <c r="A43" s="184">
        <v>1987</v>
      </c>
      <c r="B43" s="207">
        <v>5052521.9979999997</v>
      </c>
      <c r="C43" s="207">
        <v>1079421.3399999999</v>
      </c>
      <c r="D43" s="207">
        <f t="shared" si="1"/>
        <v>3973100.6579999998</v>
      </c>
      <c r="H43" s="207">
        <f t="shared" si="5"/>
        <v>5052521998</v>
      </c>
      <c r="L43" s="187">
        <f t="shared" si="6"/>
        <v>5052521998</v>
      </c>
      <c r="M43" s="184">
        <v>7581.3495244040023</v>
      </c>
      <c r="N43" s="184">
        <v>4374.5637703544071</v>
      </c>
      <c r="O43" s="184">
        <v>3206.7857540495979</v>
      </c>
      <c r="P43" s="184">
        <v>3059.5870924794649</v>
      </c>
      <c r="Q43" s="184">
        <v>1485.9917634422477</v>
      </c>
      <c r="R43" s="184">
        <v>2162.0896202582508</v>
      </c>
      <c r="S43" s="184">
        <v>392.53802711489789</v>
      </c>
      <c r="T43" s="184">
        <v>460.35992065599214</v>
      </c>
      <c r="U43" s="184">
        <v>2.3992013176065215E-3</v>
      </c>
      <c r="V43" s="184">
        <v>4.4208889821416221E-2</v>
      </c>
      <c r="W43" s="184">
        <v>20.736492362010299</v>
      </c>
      <c r="Z43" s="184">
        <v>5.7570508339376891</v>
      </c>
      <c r="AA43" s="184">
        <v>1.2910954837219641</v>
      </c>
      <c r="AB43" s="184">
        <f>Z43*conversions!$C$6/conversions!$C$8</f>
        <v>21.095174069920795</v>
      </c>
      <c r="AC43" s="184">
        <f>AA43*conversions!$C$6/conversions!$C$8</f>
        <v>4.7308743236117499</v>
      </c>
      <c r="AD43" s="184">
        <f t="shared" si="7"/>
        <v>25.826048393532545</v>
      </c>
      <c r="AE43" s="212">
        <f t="shared" si="43"/>
        <v>7100.2065032948612</v>
      </c>
      <c r="AF43" s="212">
        <f t="shared" si="44"/>
        <v>3.6373658120433441</v>
      </c>
      <c r="AG43" s="184">
        <f>M43*conversions!$C$1*1000000/data!L43</f>
        <v>17505.926311597497</v>
      </c>
      <c r="AH43" s="184">
        <f>N43*conversions!$C$1*1000/C43</f>
        <v>47281.42332335344</v>
      </c>
      <c r="AI43" s="184">
        <f>O43*conversions!$C$1*1000/D43</f>
        <v>9416.4491877597866</v>
      </c>
      <c r="AK43" s="192">
        <f t="shared" si="45"/>
        <v>17505.926311597497</v>
      </c>
      <c r="AL43" s="192">
        <f t="shared" si="46"/>
        <v>88449077784713.359</v>
      </c>
      <c r="AM43" s="192">
        <f>data!AL43/(1000000*conversions!$C$1)</f>
        <v>7581.3495244040023</v>
      </c>
      <c r="AN43" s="192">
        <f t="shared" si="47"/>
        <v>7581.3495244040023</v>
      </c>
      <c r="AQ43" s="322">
        <v>9.9999999999999998E-13</v>
      </c>
      <c r="AR43" s="212">
        <f t="shared" si="58"/>
        <v>6.2911773901196852</v>
      </c>
      <c r="AT43" s="212">
        <f t="shared" si="48"/>
        <v>2.7351980403041067E-3</v>
      </c>
      <c r="BR43" s="212" t="str">
        <f t="shared" si="49"/>
        <v/>
      </c>
      <c r="CD43" s="173">
        <f t="shared" si="63"/>
        <v>1987</v>
      </c>
      <c r="CE43" s="173">
        <f t="shared" si="50"/>
        <v>3059.5870924794649</v>
      </c>
      <c r="CF43" s="173">
        <f t="shared" si="51"/>
        <v>1485.9917634422477</v>
      </c>
      <c r="CG43" s="173">
        <f t="shared" si="52"/>
        <v>2162.0896202582508</v>
      </c>
      <c r="CH43" s="173">
        <f t="shared" si="53"/>
        <v>392.53802711489789</v>
      </c>
      <c r="CI43" s="173"/>
      <c r="CJ43" s="173">
        <f t="shared" si="54"/>
        <v>460.35992065599214</v>
      </c>
      <c r="CK43" s="173">
        <f t="shared" si="55"/>
        <v>20.736492362010299</v>
      </c>
      <c r="CL43" s="173">
        <v>0</v>
      </c>
      <c r="CM43" s="173">
        <f t="shared" si="65"/>
        <v>2.3992013176065215E-3</v>
      </c>
      <c r="CN43" s="173">
        <f t="shared" si="62"/>
        <v>4.4208889821416221E-2</v>
      </c>
      <c r="CO43" s="173"/>
      <c r="CP43" s="174"/>
      <c r="CQ43" s="174"/>
      <c r="CR43" s="174"/>
      <c r="CT43" s="190">
        <f t="shared" si="56"/>
        <v>5.1115162692523812</v>
      </c>
      <c r="CU43" s="190">
        <f t="shared" si="57"/>
        <v>25.826048393532545</v>
      </c>
      <c r="CV43" s="198">
        <f t="shared" si="59"/>
        <v>1232.8429037756102</v>
      </c>
      <c r="CW43" s="198">
        <f t="shared" si="60"/>
        <v>1232.8429037756102</v>
      </c>
      <c r="CX43" s="198">
        <v>1232.8429037756102</v>
      </c>
      <c r="CY43" s="198">
        <f t="shared" si="61"/>
        <v>0</v>
      </c>
      <c r="CZ43" s="199">
        <f>IF(CX43&lt;intermediates!$B$55,intermediates!$B$56+(CX43-intermediates!$B$55)*intermediates!$B$53,intermediates!$B$56+(data!CX43-intermediates!$B$55)*intermediates!$B$58)</f>
        <v>0.63951135447110374</v>
      </c>
      <c r="DA43" s="220">
        <v>1484147</v>
      </c>
      <c r="DB43" s="220">
        <v>3292386.02</v>
      </c>
      <c r="DD43" s="209">
        <f t="shared" si="33"/>
        <v>1.8815979284130518E-3</v>
      </c>
      <c r="DE43" s="209">
        <f t="shared" si="34"/>
        <v>3.8962500107075659E-3</v>
      </c>
      <c r="DF43" s="209"/>
      <c r="DG43" s="201">
        <f t="shared" si="8"/>
        <v>14841470000000</v>
      </c>
      <c r="DH43" s="201">
        <f t="shared" si="8"/>
        <v>32923860200000</v>
      </c>
      <c r="DJ43" s="220">
        <v>7118719327938430</v>
      </c>
      <c r="DK43" s="220">
        <v>932843953701268</v>
      </c>
      <c r="DL43" s="220">
        <v>8051563281639700</v>
      </c>
      <c r="DM43" s="220">
        <v>2128522054310010</v>
      </c>
      <c r="DN43" s="220">
        <v>103916598557478</v>
      </c>
      <c r="DO43" s="220">
        <v>2232438652867490</v>
      </c>
      <c r="DP43" s="220">
        <v>3984422456128070</v>
      </c>
      <c r="DQ43" s="220">
        <v>754454823972003</v>
      </c>
      <c r="DR43" s="220">
        <v>4738877280100080</v>
      </c>
      <c r="DS43" s="220">
        <v>353254548465067</v>
      </c>
      <c r="DT43" s="220">
        <v>80749693445773.594</v>
      </c>
      <c r="DU43" s="220">
        <v>434004241910840</v>
      </c>
      <c r="DV43" s="220">
        <v>1216736771576000</v>
      </c>
      <c r="DW43" s="220">
        <v>1787344022326.05</v>
      </c>
      <c r="DX43" s="220">
        <v>1218524115598330</v>
      </c>
      <c r="DY43" s="220">
        <v>281544068737535</v>
      </c>
      <c r="DZ43" s="220">
        <v>3087035434761.6499</v>
      </c>
      <c r="EA43" s="220">
        <v>284631104172296</v>
      </c>
      <c r="EB43" s="220">
        <v>353676532541406</v>
      </c>
      <c r="EC43" s="220">
        <v>11697741117621.4</v>
      </c>
      <c r="ED43" s="220">
        <v>365374273659028</v>
      </c>
      <c r="EE43" s="212">
        <f t="shared" si="9"/>
        <v>2569.6524290386128</v>
      </c>
      <c r="EG43" s="212">
        <f t="shared" si="10"/>
        <v>0.15920539388942981</v>
      </c>
      <c r="EI43" s="212">
        <f t="shared" si="35"/>
        <v>0.15920539388942981</v>
      </c>
      <c r="EJ43" s="212">
        <v>0.33648728562980484</v>
      </c>
      <c r="EK43" s="212">
        <v>0.10004100041000411</v>
      </c>
      <c r="EL43" s="212">
        <v>7.0409572020248501E-2</v>
      </c>
      <c r="EM43" s="212">
        <v>0.28985507246376813</v>
      </c>
      <c r="EN43" s="212">
        <f t="shared" si="11"/>
        <v>2160.5499019145868</v>
      </c>
      <c r="EP43" s="212">
        <f t="shared" si="12"/>
        <v>409.10252712402246</v>
      </c>
      <c r="ER43" s="215">
        <f t="shared" si="13"/>
        <v>479.65055536536676</v>
      </c>
      <c r="ES43" s="209">
        <f t="shared" si="42"/>
        <v>-7.0586776998504206</v>
      </c>
      <c r="EU43" s="215">
        <f t="shared" si="14"/>
        <v>479.65055536536676</v>
      </c>
      <c r="EV43" s="216">
        <f>data!EU43*conversions!$C$13</f>
        <v>0.55783359588992154</v>
      </c>
      <c r="EW43" s="217">
        <f t="shared" si="15"/>
        <v>3.5294070427714291E-2</v>
      </c>
      <c r="EX43" s="217"/>
      <c r="EZ43" s="217">
        <f t="shared" si="36"/>
        <v>3.5294070427714291E-2</v>
      </c>
      <c r="FA43" s="212">
        <f t="shared" si="16"/>
        <v>2.2817557490345739</v>
      </c>
      <c r="FD43" s="212">
        <f t="shared" si="37"/>
        <v>2.2817557490345739</v>
      </c>
      <c r="FE43" s="184">
        <f t="shared" si="17"/>
        <v>0.80876852015659639</v>
      </c>
      <c r="FG43" s="184">
        <f t="shared" si="38"/>
        <v>0.80876852015659639</v>
      </c>
      <c r="FH43" s="184">
        <f t="shared" si="18"/>
        <v>3.9549820096513026E-2</v>
      </c>
      <c r="FJ43" s="184">
        <f t="shared" si="39"/>
        <v>3.9549820096513026E-2</v>
      </c>
      <c r="FK43" s="184">
        <f t="shared" si="19"/>
        <v>4.9682606694908163E-2</v>
      </c>
      <c r="FM43" s="184">
        <f t="shared" si="40"/>
        <v>4.9682606694908163E-2</v>
      </c>
      <c r="FN43" s="218"/>
      <c r="FO43" s="218">
        <f t="shared" si="20"/>
        <v>754454823972003</v>
      </c>
      <c r="FP43" s="218">
        <f t="shared" si="21"/>
        <v>932843953701268</v>
      </c>
      <c r="FQ43" s="218">
        <f t="shared" si="22"/>
        <v>32923860200000.004</v>
      </c>
      <c r="FR43" s="218">
        <f t="shared" si="23"/>
        <v>2128522054310010.3</v>
      </c>
      <c r="FS43" s="218">
        <f t="shared" si="24"/>
        <v>4437651599691.4463</v>
      </c>
      <c r="FT43" s="218">
        <f>intermediates!$B$69*data!EU43/intermediates!$B$71</f>
        <v>1.2208707640269796</v>
      </c>
      <c r="FU43" s="218">
        <f>(Y43+W43)*conversions!$C$1*1000000</f>
        <v>241925744223.45349</v>
      </c>
      <c r="FV43" s="218">
        <f t="shared" si="41"/>
        <v>198158356602.35965</v>
      </c>
      <c r="FW43" s="221">
        <f t="shared" si="25"/>
        <v>449575368626.4704</v>
      </c>
      <c r="FX43" s="221">
        <f t="shared" si="26"/>
        <v>251417012024.11075</v>
      </c>
      <c r="FY43" s="221">
        <f>FX43*intermediates!$B$72*1000*ER43/(intermediates!$B$71*10000*1000000000)</f>
        <v>24.55581436474051</v>
      </c>
      <c r="FZ43" s="221">
        <f t="shared" si="27"/>
        <v>4.8601103319215095</v>
      </c>
      <c r="GA43" s="218"/>
      <c r="GB43" s="218"/>
      <c r="GC43" s="218">
        <f t="shared" si="28"/>
        <v>8306927640463.1592</v>
      </c>
      <c r="GD43" s="218">
        <f t="shared" si="29"/>
        <v>13194154608781.076</v>
      </c>
      <c r="GE43" s="218">
        <f t="shared" si="30"/>
        <v>14486851527112.314</v>
      </c>
      <c r="GF43" s="218">
        <f t="shared" si="31"/>
        <v>572952371662.18701</v>
      </c>
      <c r="GG43" s="218">
        <f t="shared" si="32"/>
        <v>719744546669.05078</v>
      </c>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188">
        <f t="shared" si="64"/>
        <v>1987</v>
      </c>
    </row>
    <row r="44" spans="1:237" x14ac:dyDescent="0.3">
      <c r="A44" s="211">
        <v>1988</v>
      </c>
      <c r="B44" s="207">
        <v>5145425.9939999999</v>
      </c>
      <c r="C44" s="207">
        <v>1088096.9200000002</v>
      </c>
      <c r="D44" s="207">
        <f t="shared" si="1"/>
        <v>4057329.074</v>
      </c>
      <c r="H44" s="207">
        <f t="shared" si="5"/>
        <v>5145425994</v>
      </c>
      <c r="L44" s="187">
        <f t="shared" si="6"/>
        <v>5145425994</v>
      </c>
      <c r="M44" s="184">
        <v>7867.6669747298756</v>
      </c>
      <c r="N44" s="184">
        <v>4522.1787399750046</v>
      </c>
      <c r="O44" s="184">
        <v>3345.4882347548742</v>
      </c>
      <c r="P44" s="184">
        <v>3161.8026837587272</v>
      </c>
      <c r="Q44" s="184">
        <v>1555.3803144910173</v>
      </c>
      <c r="R44" s="184">
        <v>2226.1371011928863</v>
      </c>
      <c r="S44" s="184">
        <v>427.95973645148337</v>
      </c>
      <c r="T44" s="184">
        <v>474.97642628856312</v>
      </c>
      <c r="U44" s="184">
        <v>2.3070913689549593E-3</v>
      </c>
      <c r="V44" s="184">
        <v>7.5028238670361749E-2</v>
      </c>
      <c r="W44" s="184">
        <v>21.333377217160074</v>
      </c>
      <c r="Z44" s="184">
        <v>5.9772678844113178</v>
      </c>
      <c r="AA44" s="184">
        <v>1.3078038938081555</v>
      </c>
      <c r="AB44" s="184">
        <f>Z44*conversions!$C$6/conversions!$C$8</f>
        <v>21.902100593049706</v>
      </c>
      <c r="AC44" s="184">
        <f>AA44*conversions!$C$6/conversions!$C$8</f>
        <v>4.7920978266459837</v>
      </c>
      <c r="AD44" s="184">
        <f t="shared" si="7"/>
        <v>26.694198419695688</v>
      </c>
      <c r="AE44" s="212">
        <f t="shared" si="43"/>
        <v>7371.2798358941145</v>
      </c>
      <c r="AF44" s="212">
        <f t="shared" si="44"/>
        <v>3.6213790568239577</v>
      </c>
      <c r="AG44" s="184">
        <f>M44*conversions!$C$1*1000000/data!L44</f>
        <v>17839.037651216717</v>
      </c>
      <c r="AH44" s="184">
        <f>N44*conversions!$C$1*1000/C44</f>
        <v>48487.180688256194</v>
      </c>
      <c r="AI44" s="184">
        <f>O44*conversions!$C$1*1000/D44</f>
        <v>9619.8004549976013</v>
      </c>
      <c r="AK44" s="192">
        <f t="shared" si="45"/>
        <v>17839.037651216717</v>
      </c>
      <c r="AL44" s="192">
        <f t="shared" si="46"/>
        <v>91789448038515.203</v>
      </c>
      <c r="AM44" s="192">
        <f>data!AL44/(1000000*conversions!$C$1)</f>
        <v>7867.6669747298747</v>
      </c>
      <c r="AN44" s="192">
        <f t="shared" si="47"/>
        <v>7867.6669747298747</v>
      </c>
      <c r="AQ44" s="322">
        <v>9.9999999999999998E-13</v>
      </c>
      <c r="AR44" s="212">
        <f t="shared" si="58"/>
        <v>14.616505632570977</v>
      </c>
      <c r="AT44" s="212">
        <f t="shared" si="48"/>
        <v>2.7115251936413493E-3</v>
      </c>
      <c r="BR44" s="212" t="str">
        <f t="shared" si="49"/>
        <v/>
      </c>
      <c r="CD44" s="173">
        <f t="shared" si="63"/>
        <v>1988</v>
      </c>
      <c r="CE44" s="173">
        <f t="shared" si="50"/>
        <v>3161.8026837587272</v>
      </c>
      <c r="CF44" s="173">
        <f t="shared" si="51"/>
        <v>1555.3803144910173</v>
      </c>
      <c r="CG44" s="173">
        <f t="shared" si="52"/>
        <v>2226.1371011928863</v>
      </c>
      <c r="CH44" s="173">
        <f t="shared" si="53"/>
        <v>427.95973645148337</v>
      </c>
      <c r="CI44" s="173"/>
      <c r="CJ44" s="173">
        <f t="shared" si="54"/>
        <v>474.97642628856312</v>
      </c>
      <c r="CK44" s="173">
        <f t="shared" si="55"/>
        <v>21.333377217160074</v>
      </c>
      <c r="CL44" s="173">
        <v>0</v>
      </c>
      <c r="CM44" s="173">
        <f t="shared" si="65"/>
        <v>2.3070913689549593E-3</v>
      </c>
      <c r="CN44" s="173">
        <f t="shared" si="62"/>
        <v>7.5028238670361749E-2</v>
      </c>
      <c r="CO44" s="173"/>
      <c r="CP44" s="174"/>
      <c r="CQ44" s="174"/>
      <c r="CR44" s="174"/>
      <c r="CT44" s="190">
        <f t="shared" si="56"/>
        <v>5.1879472080296889</v>
      </c>
      <c r="CU44" s="190">
        <f t="shared" si="57"/>
        <v>26.694198419695688</v>
      </c>
      <c r="CV44" s="198">
        <f t="shared" si="59"/>
        <v>1259.537102195306</v>
      </c>
      <c r="CW44" s="198">
        <f t="shared" si="60"/>
        <v>1259.537102195306</v>
      </c>
      <c r="CX44" s="198">
        <v>1259.537102195306</v>
      </c>
      <c r="CY44" s="198">
        <f t="shared" si="61"/>
        <v>0</v>
      </c>
      <c r="CZ44" s="199">
        <f>IF(CX44&lt;intermediates!$B$55,intermediates!$B$56+(CX44-intermediates!$B$55)*intermediates!$B$53,intermediates!$B$56+(data!CX44-intermediates!$B$55)*intermediates!$B$58)</f>
        <v>0.65402765150225206</v>
      </c>
      <c r="DA44" s="220">
        <v>1483575.7</v>
      </c>
      <c r="DB44" s="220">
        <v>3310157.02</v>
      </c>
      <c r="DD44" s="209">
        <f t="shared" si="33"/>
        <v>-3.6590440781102048E-4</v>
      </c>
      <c r="DE44" s="209">
        <f t="shared" si="34"/>
        <v>5.4405081356103E-3</v>
      </c>
      <c r="DF44" s="209"/>
      <c r="DG44" s="201">
        <f t="shared" si="8"/>
        <v>14835757000000</v>
      </c>
      <c r="DH44" s="201">
        <f t="shared" si="8"/>
        <v>33101570200000</v>
      </c>
      <c r="DJ44" s="220">
        <v>6962453624175340</v>
      </c>
      <c r="DK44" s="220">
        <v>960709786335866</v>
      </c>
      <c r="DL44" s="220">
        <v>7923163410511210</v>
      </c>
      <c r="DM44" s="220">
        <v>2026435670118600</v>
      </c>
      <c r="DN44" s="220">
        <v>105312277661502</v>
      </c>
      <c r="DO44" s="220">
        <v>2131747947780100</v>
      </c>
      <c r="DP44" s="220">
        <v>4083500447455640</v>
      </c>
      <c r="DQ44" s="220">
        <v>774454560689335</v>
      </c>
      <c r="DR44" s="220">
        <v>4857955008144980</v>
      </c>
      <c r="DS44" s="220">
        <v>355974961863009</v>
      </c>
      <c r="DT44" s="220">
        <v>81001086476274.797</v>
      </c>
      <c r="DU44" s="220">
        <v>436976048339284</v>
      </c>
      <c r="DV44" s="220">
        <v>1240112379655230</v>
      </c>
      <c r="DW44" s="220">
        <v>1686142611849.25</v>
      </c>
      <c r="DX44" s="220">
        <v>1241798522267080</v>
      </c>
      <c r="DY44" s="220">
        <v>290268878896074</v>
      </c>
      <c r="DZ44" s="220">
        <v>3162506880084.6299</v>
      </c>
      <c r="EA44" s="220">
        <v>293431385776159</v>
      </c>
      <c r="EB44" s="220">
        <v>341528020909668</v>
      </c>
      <c r="EC44" s="220">
        <v>12275235844624.699</v>
      </c>
      <c r="ED44" s="220">
        <v>353803256754293</v>
      </c>
      <c r="EE44" s="212">
        <f t="shared" si="9"/>
        <v>2586.6596451410687</v>
      </c>
      <c r="EG44" s="212">
        <f t="shared" si="10"/>
        <v>0.15941987099321903</v>
      </c>
      <c r="EI44" s="212">
        <f t="shared" si="35"/>
        <v>0.15941987099321903</v>
      </c>
      <c r="EJ44" s="212">
        <v>0.33196239717978848</v>
      </c>
      <c r="EK44" s="212">
        <v>0.10927152317880795</v>
      </c>
      <c r="EL44" s="212">
        <v>6.6783831282952552E-2</v>
      </c>
      <c r="EM44" s="212">
        <v>0.28629265471370735</v>
      </c>
      <c r="EN44" s="212">
        <f t="shared" si="11"/>
        <v>2174.2946982093113</v>
      </c>
      <c r="EP44" s="212">
        <f t="shared" si="12"/>
        <v>412.3649469317549</v>
      </c>
      <c r="ER44" s="215">
        <f t="shared" si="13"/>
        <v>469.3022151936932</v>
      </c>
      <c r="ES44" s="209">
        <f t="shared" si="42"/>
        <v>-10.348340171673556</v>
      </c>
      <c r="EU44" s="215">
        <f t="shared" si="14"/>
        <v>469.3022151936932</v>
      </c>
      <c r="EV44" s="216">
        <f>data!EU44*conversions!$C$13</f>
        <v>0.54579847627026523</v>
      </c>
      <c r="EW44" s="217">
        <f t="shared" si="15"/>
        <v>3.4455327374408186E-2</v>
      </c>
      <c r="EX44" s="217"/>
      <c r="EZ44" s="217">
        <f t="shared" si="36"/>
        <v>3.4455327374408186E-2</v>
      </c>
      <c r="FA44" s="212">
        <f t="shared" si="16"/>
        <v>2.1093109479475567</v>
      </c>
      <c r="FD44" s="212">
        <f t="shared" si="37"/>
        <v>2.1093109479475567</v>
      </c>
      <c r="FE44" s="184">
        <f t="shared" si="17"/>
        <v>0.80612748168527992</v>
      </c>
      <c r="FG44" s="184">
        <f t="shared" si="38"/>
        <v>0.80612748168527992</v>
      </c>
      <c r="FH44" s="184">
        <f t="shared" si="18"/>
        <v>4.16906014121501E-2</v>
      </c>
      <c r="FJ44" s="184">
        <f t="shared" si="39"/>
        <v>4.16906014121501E-2</v>
      </c>
      <c r="FK44" s="184">
        <f t="shared" si="19"/>
        <v>4.9052825245944801E-2</v>
      </c>
      <c r="FM44" s="184">
        <f t="shared" si="40"/>
        <v>4.9052825245944801E-2</v>
      </c>
      <c r="FN44" s="218"/>
      <c r="FO44" s="218">
        <f t="shared" si="20"/>
        <v>774454560689335</v>
      </c>
      <c r="FP44" s="218">
        <f t="shared" si="21"/>
        <v>960709786335866</v>
      </c>
      <c r="FQ44" s="218">
        <f t="shared" si="22"/>
        <v>33101570200000.004</v>
      </c>
      <c r="FR44" s="218">
        <f t="shared" si="23"/>
        <v>2026435670118600.3</v>
      </c>
      <c r="FS44" s="218">
        <f t="shared" si="24"/>
        <v>4317975932166.0942</v>
      </c>
      <c r="FT44" s="218">
        <f>intermediates!$B$69*data!EU44/intermediates!$B$71</f>
        <v>1.1945307841593895</v>
      </c>
      <c r="FU44" s="218">
        <f>(Y44+W44)*conversions!$C$1*1000000</f>
        <v>248889400866.86752</v>
      </c>
      <c r="FV44" s="218">
        <f t="shared" si="41"/>
        <v>208357460659.34583</v>
      </c>
      <c r="FW44" s="221">
        <f t="shared" si="25"/>
        <v>453037548693.25336</v>
      </c>
      <c r="FX44" s="221">
        <f t="shared" si="26"/>
        <v>244680088033.90753</v>
      </c>
      <c r="FY44" s="221">
        <f>FX44*intermediates!$B$72*1000*ER44/(intermediates!$B$71*10000*1000000000)</f>
        <v>23.382231794186563</v>
      </c>
      <c r="FZ44" s="221">
        <f t="shared" si="27"/>
        <v>4.5442752109256288</v>
      </c>
      <c r="GA44" s="218"/>
      <c r="GB44" s="218"/>
      <c r="GC44" s="218">
        <f t="shared" si="28"/>
        <v>8701217073459.3145</v>
      </c>
      <c r="GD44" s="218">
        <f t="shared" si="29"/>
        <v>13472230554318.662</v>
      </c>
      <c r="GE44" s="218">
        <f t="shared" si="30"/>
        <v>14816753542734.893</v>
      </c>
      <c r="GF44" s="218">
        <f t="shared" si="31"/>
        <v>617719366172.22327</v>
      </c>
      <c r="GG44" s="218">
        <f t="shared" si="32"/>
        <v>726803622244.00818</v>
      </c>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188">
        <f t="shared" si="64"/>
        <v>1988</v>
      </c>
    </row>
    <row r="45" spans="1:237" x14ac:dyDescent="0.3">
      <c r="A45" s="184">
        <v>1989</v>
      </c>
      <c r="B45" s="207">
        <v>5237441.4340000004</v>
      </c>
      <c r="C45" s="207">
        <v>1096848.2720000001</v>
      </c>
      <c r="D45" s="207">
        <f t="shared" si="1"/>
        <v>4140593.1620000005</v>
      </c>
      <c r="H45" s="207">
        <f t="shared" si="5"/>
        <v>5237441434</v>
      </c>
      <c r="L45" s="187">
        <f t="shared" si="6"/>
        <v>5237441434</v>
      </c>
      <c r="M45" s="184">
        <v>8023.2321808323522</v>
      </c>
      <c r="N45" s="184">
        <v>4604.7034113269201</v>
      </c>
      <c r="O45" s="184">
        <v>3418.5287695054344</v>
      </c>
      <c r="P45" s="184">
        <v>3213.5114817121416</v>
      </c>
      <c r="Q45" s="184">
        <v>1624.5922005591879</v>
      </c>
      <c r="R45" s="184">
        <v>2248.6738325939191</v>
      </c>
      <c r="S45" s="184">
        <v>440.12314973216218</v>
      </c>
      <c r="T45" s="184">
        <v>472.13223288796956</v>
      </c>
      <c r="U45" s="184">
        <v>5.9334577617602212E-2</v>
      </c>
      <c r="V45" s="184">
        <v>0.59957839699432958</v>
      </c>
      <c r="W45" s="184">
        <v>23.540370372362027</v>
      </c>
      <c r="Z45" s="184">
        <v>6.0673264716739945</v>
      </c>
      <c r="AA45" s="184">
        <v>1.334689309978933</v>
      </c>
      <c r="AB45" s="184">
        <f>Z45*conversions!$C$6/conversions!$C$8</f>
        <v>22.232096215738672</v>
      </c>
      <c r="AC45" s="184">
        <f>AA45*conversions!$C$6/conversions!$C$8</f>
        <v>4.8906122484262227</v>
      </c>
      <c r="AD45" s="184">
        <f t="shared" si="7"/>
        <v>27.122708464164894</v>
      </c>
      <c r="AE45" s="212">
        <f t="shared" si="43"/>
        <v>7526.9006645974114</v>
      </c>
      <c r="AF45" s="212">
        <f t="shared" si="44"/>
        <v>3.6034364837224269</v>
      </c>
      <c r="AG45" s="184">
        <f>M45*conversions!$C$1*1000000/data!L45</f>
        <v>17872.156972561213</v>
      </c>
      <c r="AH45" s="184">
        <f>N45*conversions!$C$1*1000/C45</f>
        <v>48978.095849900797</v>
      </c>
      <c r="AI45" s="184">
        <f>O45*conversions!$C$1*1000/D45</f>
        <v>9632.1551245971114</v>
      </c>
      <c r="AK45" s="192">
        <f t="shared" si="45"/>
        <v>17872.156972561213</v>
      </c>
      <c r="AL45" s="192">
        <f t="shared" si="46"/>
        <v>93604375443044.094</v>
      </c>
      <c r="AM45" s="192">
        <f>data!AL45/(1000000*conversions!$C$1)</f>
        <v>8023.2321808323513</v>
      </c>
      <c r="AN45" s="192">
        <f t="shared" si="47"/>
        <v>8023.2321808323513</v>
      </c>
      <c r="AQ45" s="322">
        <v>9.9999999999999998E-13</v>
      </c>
      <c r="AR45" s="212">
        <f t="shared" si="58"/>
        <v>-2.8441934005935536</v>
      </c>
      <c r="AT45" s="212">
        <f t="shared" si="48"/>
        <v>2.9340258192453164E-3</v>
      </c>
      <c r="BR45" s="212" t="str">
        <f t="shared" si="49"/>
        <v/>
      </c>
      <c r="CD45" s="173">
        <f t="shared" si="63"/>
        <v>1989</v>
      </c>
      <c r="CE45" s="173">
        <f t="shared" si="50"/>
        <v>3213.5114817121416</v>
      </c>
      <c r="CF45" s="173">
        <f t="shared" si="51"/>
        <v>1624.5922005591879</v>
      </c>
      <c r="CG45" s="173">
        <f t="shared" si="52"/>
        <v>2248.6738325939191</v>
      </c>
      <c r="CH45" s="173">
        <f t="shared" si="53"/>
        <v>440.12314973216218</v>
      </c>
      <c r="CI45" s="173"/>
      <c r="CJ45" s="173">
        <f t="shared" si="54"/>
        <v>472.13223288796956</v>
      </c>
      <c r="CK45" s="173">
        <f t="shared" si="55"/>
        <v>23.540370372362027</v>
      </c>
      <c r="CL45" s="173">
        <v>0</v>
      </c>
      <c r="CM45" s="173">
        <f t="shared" si="65"/>
        <v>5.9334577617602212E-2</v>
      </c>
      <c r="CN45" s="173">
        <f t="shared" si="62"/>
        <v>0.59957839699432958</v>
      </c>
      <c r="CO45" s="173"/>
      <c r="CP45" s="174"/>
      <c r="CQ45" s="174"/>
      <c r="CR45" s="174"/>
      <c r="CT45" s="190">
        <f t="shared" si="56"/>
        <v>5.1786179962017105</v>
      </c>
      <c r="CU45" s="190">
        <f t="shared" si="57"/>
        <v>27.122708464164894</v>
      </c>
      <c r="CV45" s="198">
        <f t="shared" si="59"/>
        <v>1286.6598106594708</v>
      </c>
      <c r="CW45" s="198">
        <f t="shared" si="60"/>
        <v>1286.6598106594708</v>
      </c>
      <c r="CX45" s="198">
        <v>1286.6598106594708</v>
      </c>
      <c r="CY45" s="198">
        <f t="shared" si="61"/>
        <v>0</v>
      </c>
      <c r="CZ45" s="199">
        <f>IF(CX45&lt;intermediates!$B$55,intermediates!$B$56+(CX45-intermediates!$B$55)*intermediates!$B$53,intermediates!$B$56+(data!CX45-intermediates!$B$55)*intermediates!$B$58)</f>
        <v>0.6687769721660467</v>
      </c>
      <c r="DA45" s="220">
        <v>1484220.5</v>
      </c>
      <c r="DB45" s="220">
        <v>3321513.72</v>
      </c>
      <c r="DD45" s="209">
        <f t="shared" si="33"/>
        <v>4.129794541511357E-4</v>
      </c>
      <c r="DE45" s="209">
        <f t="shared" si="34"/>
        <v>3.476800334459879E-3</v>
      </c>
      <c r="DF45" s="209"/>
      <c r="DG45" s="201">
        <f t="shared" si="8"/>
        <v>14842205000000</v>
      </c>
      <c r="DH45" s="201">
        <f t="shared" si="8"/>
        <v>33215137200000.004</v>
      </c>
      <c r="DJ45" s="220">
        <v>7472519467449410</v>
      </c>
      <c r="DK45" s="220">
        <v>974861408031360</v>
      </c>
      <c r="DL45" s="220">
        <v>8447380875480780</v>
      </c>
      <c r="DM45" s="220">
        <v>2081164029035060</v>
      </c>
      <c r="DN45" s="220">
        <v>104682058638560</v>
      </c>
      <c r="DO45" s="220">
        <v>2185846087673620</v>
      </c>
      <c r="DP45" s="220">
        <v>4170142394127040</v>
      </c>
      <c r="DQ45" s="220">
        <v>788448526997390</v>
      </c>
      <c r="DR45" s="220">
        <v>4958590921124430</v>
      </c>
      <c r="DS45" s="220">
        <v>417256138372434</v>
      </c>
      <c r="DT45" s="220">
        <v>85124802382513.5</v>
      </c>
      <c r="DU45" s="220">
        <v>502380940754948</v>
      </c>
      <c r="DV45" s="220">
        <v>1266751626035470</v>
      </c>
      <c r="DW45" s="220">
        <v>2557331211015.0801</v>
      </c>
      <c r="DX45" s="220">
        <v>1269308957246490</v>
      </c>
      <c r="DY45" s="220">
        <v>291194395700412</v>
      </c>
      <c r="DZ45" s="220">
        <v>3180401833378.5</v>
      </c>
      <c r="EA45" s="220">
        <v>294374797533791</v>
      </c>
      <c r="EB45" s="220">
        <v>361856331315232</v>
      </c>
      <c r="EC45" s="220">
        <v>12732067338634.9</v>
      </c>
      <c r="ED45" s="220">
        <v>374588398653867</v>
      </c>
      <c r="EE45" s="212">
        <f t="shared" si="9"/>
        <v>2593.8582372738674</v>
      </c>
      <c r="EG45" s="212">
        <f t="shared" si="10"/>
        <v>0.15900656850688508</v>
      </c>
      <c r="EI45" s="212">
        <f t="shared" si="35"/>
        <v>0.15900656850688508</v>
      </c>
      <c r="EJ45" s="212">
        <v>0.33294152218630618</v>
      </c>
      <c r="EK45" s="212">
        <v>0.11356073211314476</v>
      </c>
      <c r="EL45" s="212">
        <v>6.6751161808196027E-2</v>
      </c>
      <c r="EM45" s="212">
        <v>0.28342557529857265</v>
      </c>
      <c r="EN45" s="212">
        <f t="shared" si="11"/>
        <v>2181.4177397716321</v>
      </c>
      <c r="EP45" s="212">
        <f t="shared" si="12"/>
        <v>412.4404975022353</v>
      </c>
      <c r="ER45" s="215">
        <f t="shared" si="13"/>
        <v>503.46424048511727</v>
      </c>
      <c r="ES45" s="209">
        <f t="shared" si="42"/>
        <v>34.162025291424072</v>
      </c>
      <c r="EU45" s="215">
        <f t="shared" si="14"/>
        <v>503.46424048511727</v>
      </c>
      <c r="EV45" s="216">
        <f>data!EU45*conversions!$C$13</f>
        <v>0.58552891168419141</v>
      </c>
      <c r="EW45" s="217">
        <f t="shared" si="15"/>
        <v>3.4071650520123488E-2</v>
      </c>
      <c r="EX45" s="217"/>
      <c r="EZ45" s="217">
        <f t="shared" si="36"/>
        <v>3.4071650520123488E-2</v>
      </c>
      <c r="FA45" s="212">
        <f t="shared" si="16"/>
        <v>2.134830666071573</v>
      </c>
      <c r="FD45" s="212">
        <f t="shared" si="37"/>
        <v>2.134830666071573</v>
      </c>
      <c r="FE45" s="184">
        <f t="shared" si="17"/>
        <v>0.80878012043741365</v>
      </c>
      <c r="FG45" s="184">
        <f t="shared" si="38"/>
        <v>0.80878012043741365</v>
      </c>
      <c r="FH45" s="184">
        <f t="shared" si="18"/>
        <v>3.8968703523472412E-2</v>
      </c>
      <c r="FJ45" s="184">
        <f t="shared" si="39"/>
        <v>3.8968703523472412E-2</v>
      </c>
      <c r="FK45" s="184">
        <f t="shared" si="19"/>
        <v>4.8424943272679648E-2</v>
      </c>
      <c r="FM45" s="184">
        <f t="shared" si="40"/>
        <v>4.8424943272679648E-2</v>
      </c>
      <c r="FN45" s="218"/>
      <c r="FO45" s="218">
        <f t="shared" si="20"/>
        <v>788448526997390</v>
      </c>
      <c r="FP45" s="218">
        <f t="shared" si="21"/>
        <v>974861408031360</v>
      </c>
      <c r="FQ45" s="218">
        <f t="shared" si="22"/>
        <v>33215137200000.004</v>
      </c>
      <c r="FR45" s="218">
        <f t="shared" si="23"/>
        <v>2081164029035059.8</v>
      </c>
      <c r="FS45" s="218">
        <f t="shared" si="24"/>
        <v>4133687880254.8843</v>
      </c>
      <c r="FT45" s="218">
        <f>intermediates!$B$69*data!EU45/intermediates!$B$71</f>
        <v>1.2814845413305449</v>
      </c>
      <c r="FU45" s="218">
        <f>(Y45+W45)*conversions!$C$1*1000000</f>
        <v>274637654344.2236</v>
      </c>
      <c r="FV45" s="218">
        <f t="shared" si="41"/>
        <v>214312108719.68204</v>
      </c>
      <c r="FW45" s="221">
        <f t="shared" si="25"/>
        <v>531028073199.72821</v>
      </c>
      <c r="FX45" s="221">
        <f t="shared" si="26"/>
        <v>316715964480.04614</v>
      </c>
      <c r="FY45" s="221">
        <f>FX45*intermediates!$B$72*1000*ER45/(intermediates!$B$71*10000*1000000000)</f>
        <v>32.469328997901847</v>
      </c>
      <c r="FZ45" s="221">
        <f t="shared" si="27"/>
        <v>6.1994638808025755</v>
      </c>
      <c r="GA45" s="218"/>
      <c r="GB45" s="218"/>
      <c r="GC45" s="218">
        <f t="shared" si="28"/>
        <v>8282896894740.457</v>
      </c>
      <c r="GD45" s="218">
        <f t="shared" si="29"/>
        <v>12947612848195.07</v>
      </c>
      <c r="GE45" s="218">
        <f t="shared" si="30"/>
        <v>14187511190055.209</v>
      </c>
      <c r="GF45" s="218">
        <f t="shared" si="31"/>
        <v>552868917301.20874</v>
      </c>
      <c r="GG45" s="218">
        <f t="shared" si="32"/>
        <v>687029424558.93127</v>
      </c>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188">
        <f t="shared" si="64"/>
        <v>1989</v>
      </c>
    </row>
    <row r="46" spans="1:237" x14ac:dyDescent="0.3">
      <c r="A46" s="211">
        <v>1990</v>
      </c>
      <c r="B46" s="207">
        <v>5327231.0410000104</v>
      </c>
      <c r="C46" s="207">
        <v>1105709.1329999999</v>
      </c>
      <c r="D46" s="207">
        <f t="shared" si="1"/>
        <v>4221521.908000011</v>
      </c>
      <c r="H46" s="207">
        <f t="shared" si="5"/>
        <v>5327231041.0000105</v>
      </c>
      <c r="L46" s="187">
        <f t="shared" si="6"/>
        <v>5327231041.0000105</v>
      </c>
      <c r="M46" s="184">
        <v>8115.512308627799</v>
      </c>
      <c r="N46" s="184">
        <v>4634.9494298239124</v>
      </c>
      <c r="O46" s="184">
        <v>3480.5628788038848</v>
      </c>
      <c r="P46" s="184">
        <v>3251.2611826428256</v>
      </c>
      <c r="Q46" s="184">
        <v>1675.4021140921268</v>
      </c>
      <c r="R46" s="184">
        <v>2219.9202029577459</v>
      </c>
      <c r="S46" s="184">
        <v>452.657555224215</v>
      </c>
      <c r="T46" s="184">
        <v>488.99128469718391</v>
      </c>
      <c r="U46" s="184">
        <v>8.786146298025703E-2</v>
      </c>
      <c r="V46" s="184">
        <v>0.82193748379846876</v>
      </c>
      <c r="W46" s="184">
        <v>26.370170066921069</v>
      </c>
      <c r="X46" s="184">
        <v>7787.152211604629</v>
      </c>
      <c r="Y46" s="184">
        <f t="shared" ref="Y46:Y74" si="66">X46/1000</f>
        <v>7.7871522116046288</v>
      </c>
      <c r="Z46" s="184">
        <v>6.200201951215436</v>
      </c>
      <c r="AA46" s="184">
        <v>1.3082016196954749</v>
      </c>
      <c r="AB46" s="184">
        <f>Z46*conversions!$C$6/conversions!$C$8</f>
        <v>22.71898289633338</v>
      </c>
      <c r="AC46" s="184">
        <f>AA46*conversions!$C$6/conversions!$C$8</f>
        <v>4.7935551868582049</v>
      </c>
      <c r="AD46" s="184">
        <f t="shared" si="7"/>
        <v>27.512538083191586</v>
      </c>
      <c r="AE46" s="212">
        <f t="shared" si="43"/>
        <v>7599.2410549169135</v>
      </c>
      <c r="AF46" s="212">
        <f t="shared" si="44"/>
        <v>3.620432341120464</v>
      </c>
      <c r="AG46" s="184">
        <f>M46*conversions!$C$1*1000000/data!L46</f>
        <v>17773.018704331957</v>
      </c>
      <c r="AH46" s="184">
        <f>N46*conversions!$C$1*1000/C46</f>
        <v>48904.73308102115</v>
      </c>
      <c r="AI46" s="184">
        <f>O46*conversions!$C$1*1000/D46</f>
        <v>9618.9402315849711</v>
      </c>
      <c r="AK46" s="192">
        <f t="shared" si="45"/>
        <v>17773.018704331957</v>
      </c>
      <c r="AL46" s="192">
        <f t="shared" si="46"/>
        <v>94680976933990.984</v>
      </c>
      <c r="AM46" s="192">
        <f>data!AL46/(1000000*conversions!$C$1)</f>
        <v>8115.512308627799</v>
      </c>
      <c r="AN46" s="192">
        <f t="shared" si="47"/>
        <v>8115.512308627799</v>
      </c>
      <c r="AQ46" s="322">
        <v>9.9999999999999998E-13</v>
      </c>
      <c r="AR46" s="212">
        <f t="shared" si="58"/>
        <v>16.85905180921435</v>
      </c>
      <c r="AT46" s="212">
        <f t="shared" si="48"/>
        <v>3.2493537147231357E-3</v>
      </c>
      <c r="AU46" s="212">
        <f t="shared" ref="AU46:AU74" si="67">Y46/AM46</f>
        <v>9.5953920288259769E-4</v>
      </c>
      <c r="BR46" s="212" t="str">
        <f t="shared" si="49"/>
        <v/>
      </c>
      <c r="CD46" s="173">
        <f t="shared" si="63"/>
        <v>1990</v>
      </c>
      <c r="CE46" s="173">
        <f t="shared" si="50"/>
        <v>3251.2611826428256</v>
      </c>
      <c r="CF46" s="173">
        <f t="shared" si="51"/>
        <v>1675.4021140921268</v>
      </c>
      <c r="CG46" s="173">
        <f t="shared" si="52"/>
        <v>2219.9202029577459</v>
      </c>
      <c r="CH46" s="173">
        <f t="shared" si="53"/>
        <v>452.657555224215</v>
      </c>
      <c r="CI46" s="173"/>
      <c r="CJ46" s="173">
        <f t="shared" si="54"/>
        <v>488.99128469718391</v>
      </c>
      <c r="CK46" s="173">
        <f t="shared" si="55"/>
        <v>34.157322278525697</v>
      </c>
      <c r="CL46" s="173">
        <v>0</v>
      </c>
      <c r="CM46" s="173">
        <f t="shared" si="65"/>
        <v>8.786146298025703E-2</v>
      </c>
      <c r="CN46" s="173">
        <f t="shared" si="62"/>
        <v>0.82193748379846876</v>
      </c>
      <c r="CO46" s="173"/>
      <c r="CP46" s="174"/>
      <c r="CQ46" s="174"/>
      <c r="CR46" s="174"/>
      <c r="CT46" s="190">
        <f t="shared" si="56"/>
        <v>5.1645100187032664</v>
      </c>
      <c r="CU46" s="190">
        <f t="shared" si="57"/>
        <v>27.512538083191586</v>
      </c>
      <c r="CV46" s="198">
        <f t="shared" si="59"/>
        <v>1314.1723487426625</v>
      </c>
      <c r="CW46" s="198">
        <f t="shared" si="60"/>
        <v>1314.1723487426625</v>
      </c>
      <c r="CX46" s="198">
        <v>1314.1723487426625</v>
      </c>
      <c r="CY46" s="198">
        <f t="shared" si="61"/>
        <v>0</v>
      </c>
      <c r="CZ46" s="199">
        <f>IF(CX46&lt;intermediates!$B$55,intermediates!$B$56+(CX46-intermediates!$B$55)*intermediates!$B$53,intermediates!$B$56+(data!CX46-intermediates!$B$55)*intermediates!$B$58)</f>
        <v>0.68373828205882525</v>
      </c>
      <c r="DA46" s="220">
        <v>1486011.7</v>
      </c>
      <c r="DB46" s="220">
        <v>3332084.02</v>
      </c>
      <c r="DC46" s="220">
        <v>4128269.4840000002</v>
      </c>
      <c r="DD46" s="209">
        <f t="shared" si="33"/>
        <v>1.1472220816926824E-3</v>
      </c>
      <c r="DE46" s="209">
        <f t="shared" si="34"/>
        <v>3.2360476701277668E-3</v>
      </c>
      <c r="DF46" s="209"/>
      <c r="DG46" s="201">
        <f t="shared" si="8"/>
        <v>14860117000000</v>
      </c>
      <c r="DH46" s="201">
        <f t="shared" si="8"/>
        <v>33320840200000</v>
      </c>
      <c r="DI46" s="201">
        <f>DC46*10000000</f>
        <v>41282694840000</v>
      </c>
      <c r="DJ46" s="220">
        <v>7744318967759270</v>
      </c>
      <c r="DK46" s="220">
        <v>990021488136042</v>
      </c>
      <c r="DL46" s="220">
        <v>8734340455895310</v>
      </c>
      <c r="DM46" s="220">
        <v>2136496656864630</v>
      </c>
      <c r="DN46" s="220">
        <v>103525524888025</v>
      </c>
      <c r="DO46" s="220">
        <v>2240022181752660</v>
      </c>
      <c r="DP46" s="220">
        <v>4215611579096450</v>
      </c>
      <c r="DQ46" s="220">
        <v>800946698735505</v>
      </c>
      <c r="DR46" s="220">
        <v>5016558277831960</v>
      </c>
      <c r="DS46" s="220">
        <v>451500277738384</v>
      </c>
      <c r="DT46" s="220">
        <v>83799536547664.203</v>
      </c>
      <c r="DU46" s="220">
        <v>535299814286048</v>
      </c>
      <c r="DV46" s="220">
        <v>1309881343140160</v>
      </c>
      <c r="DW46" s="220">
        <v>2250844873383.1699</v>
      </c>
      <c r="DX46" s="220">
        <v>1312132188013550</v>
      </c>
      <c r="DY46" s="220">
        <v>273255961197724</v>
      </c>
      <c r="DZ46" s="220">
        <v>3396076075173.3501</v>
      </c>
      <c r="EA46" s="220">
        <v>276652037272897</v>
      </c>
      <c r="EB46" s="220">
        <v>383070245924622</v>
      </c>
      <c r="EC46" s="220">
        <v>13159196325401.5</v>
      </c>
      <c r="ED46" s="220">
        <v>396229442250024</v>
      </c>
      <c r="EE46" s="212">
        <f t="shared" si="9"/>
        <v>2579.9510432255288</v>
      </c>
      <c r="EG46" s="212">
        <f t="shared" si="10"/>
        <v>0.15966059883623152</v>
      </c>
      <c r="EI46" s="212">
        <f t="shared" si="35"/>
        <v>0.15966059883623152</v>
      </c>
      <c r="EJ46" s="212">
        <v>0.3462128181539405</v>
      </c>
      <c r="EK46" s="212">
        <v>0.11501597444089456</v>
      </c>
      <c r="EL46" s="212">
        <v>7.1655328798185938E-2</v>
      </c>
      <c r="EM46" s="212">
        <v>0.27741196679072433</v>
      </c>
      <c r="EN46" s="212">
        <f t="shared" si="11"/>
        <v>2168.034514695978</v>
      </c>
      <c r="EP46" s="212">
        <f t="shared" si="12"/>
        <v>411.91652852954815</v>
      </c>
      <c r="ER46" s="215">
        <f t="shared" si="13"/>
        <v>521.14791342216688</v>
      </c>
      <c r="ES46" s="209">
        <f t="shared" si="42"/>
        <v>17.683672937049607</v>
      </c>
      <c r="EU46" s="215">
        <f t="shared" si="14"/>
        <v>521.14791342216688</v>
      </c>
      <c r="EV46" s="216">
        <f>data!EU46*conversions!$C$13</f>
        <v>0.60609502330998011</v>
      </c>
      <c r="EW46" s="217">
        <f t="shared" si="15"/>
        <v>3.3656683818787253E-2</v>
      </c>
      <c r="EX46" s="217"/>
      <c r="EZ46" s="217">
        <f t="shared" si="36"/>
        <v>3.3656683818787253E-2</v>
      </c>
      <c r="FA46" s="212">
        <f t="shared" si="16"/>
        <v>2.1580305907168826</v>
      </c>
      <c r="FD46" s="212">
        <f t="shared" si="37"/>
        <v>2.1580305907168826</v>
      </c>
      <c r="FE46" s="184">
        <f t="shared" si="17"/>
        <v>0.80901950950931723</v>
      </c>
      <c r="FG46" s="184">
        <f t="shared" si="38"/>
        <v>0.80901950950931723</v>
      </c>
      <c r="FH46" s="184">
        <f t="shared" si="18"/>
        <v>3.5284698672062506E-2</v>
      </c>
      <c r="FJ46" s="184">
        <f t="shared" si="39"/>
        <v>3.5284698672062506E-2</v>
      </c>
      <c r="FK46" s="184">
        <f t="shared" si="19"/>
        <v>4.9464678239545576E-2</v>
      </c>
      <c r="FM46" s="184">
        <f t="shared" si="40"/>
        <v>4.9464678239545576E-2</v>
      </c>
      <c r="FN46" s="218"/>
      <c r="FO46" s="218">
        <f t="shared" si="20"/>
        <v>800946698735505</v>
      </c>
      <c r="FP46" s="218">
        <f t="shared" si="21"/>
        <v>990021488136042</v>
      </c>
      <c r="FQ46" s="218">
        <f t="shared" si="22"/>
        <v>33320840200000</v>
      </c>
      <c r="FR46" s="218">
        <f t="shared" si="23"/>
        <v>2136496656864630</v>
      </c>
      <c r="FS46" s="218">
        <f t="shared" si="24"/>
        <v>4099597449858.5698</v>
      </c>
      <c r="FT46" s="218">
        <f>intermediates!$B$69*data!EU46/intermediates!$B$71</f>
        <v>1.3264953915171218</v>
      </c>
      <c r="FU46" s="218">
        <f>(Y46+W46)*conversions!$C$1*1000000</f>
        <v>398502093249.46643</v>
      </c>
      <c r="FV46" s="218">
        <f t="shared" si="41"/>
        <v>300417246677.12329</v>
      </c>
      <c r="FW46" s="221">
        <f t="shared" si="25"/>
        <v>574609455649.40283</v>
      </c>
      <c r="FX46" s="221">
        <f t="shared" si="26"/>
        <v>274192208972.27954</v>
      </c>
      <c r="FY46" s="221">
        <f>FX46*intermediates!$B$72*1000*ER46/(intermediates!$B$71*10000*1000000000)</f>
        <v>29.097176127330272</v>
      </c>
      <c r="FZ46" s="221">
        <f t="shared" si="27"/>
        <v>5.461969999684535</v>
      </c>
      <c r="GA46" s="218"/>
      <c r="GB46" s="218"/>
      <c r="GC46" s="218">
        <f t="shared" si="28"/>
        <v>8089088472818.0889</v>
      </c>
      <c r="GD46" s="218">
        <f t="shared" si="29"/>
        <v>12763295378326.063</v>
      </c>
      <c r="GE46" s="218">
        <f t="shared" si="30"/>
        <v>13945137054655.057</v>
      </c>
      <c r="GF46" s="218">
        <f t="shared" si="31"/>
        <v>492049958914.11694</v>
      </c>
      <c r="GG46" s="218">
        <f t="shared" si="32"/>
        <v>689791717414.87671</v>
      </c>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188">
        <f t="shared" si="64"/>
        <v>1990</v>
      </c>
      <c r="HN46" s="185">
        <f t="shared" ref="HN46:HN69" si="68">DG46/$L46</f>
        <v>2789.4635854221383</v>
      </c>
      <c r="HO46" s="185">
        <f t="shared" ref="HO46:HO69" si="69">DH46/$L46</f>
        <v>6254.8141696037874</v>
      </c>
      <c r="HP46" s="185">
        <f t="shared" ref="HP46:HP69" si="70">DI46/$L46</f>
        <v>7749.3719574532561</v>
      </c>
      <c r="IC46" s="185">
        <f t="shared" ref="IC46:IC77" si="71">(DG46+DH46)/L46</f>
        <v>9044.2777550259252</v>
      </c>
    </row>
    <row r="47" spans="1:237" x14ac:dyDescent="0.3">
      <c r="A47" s="184">
        <v>1991</v>
      </c>
      <c r="B47" s="207">
        <v>5414289.3830000004</v>
      </c>
      <c r="C47" s="207">
        <v>1114706.274</v>
      </c>
      <c r="D47" s="207">
        <f t="shared" si="1"/>
        <v>4299583.1090000002</v>
      </c>
      <c r="H47" s="207">
        <f t="shared" si="5"/>
        <v>5414289383</v>
      </c>
      <c r="L47" s="187">
        <f t="shared" si="6"/>
        <v>5414289383</v>
      </c>
      <c r="M47" s="184">
        <v>8168.3956459229221</v>
      </c>
      <c r="N47" s="184">
        <v>4670.3044842792706</v>
      </c>
      <c r="O47" s="184">
        <v>3498.091161643651</v>
      </c>
      <c r="P47" s="184">
        <v>3251.6416944149782</v>
      </c>
      <c r="Q47" s="184">
        <v>1717.6691378019366</v>
      </c>
      <c r="R47" s="184">
        <v>2195.4613169797999</v>
      </c>
      <c r="S47" s="184">
        <v>474.31591822181161</v>
      </c>
      <c r="T47" s="184">
        <v>500.77674724946644</v>
      </c>
      <c r="U47" s="184">
        <v>0.114314810374135</v>
      </c>
      <c r="V47" s="184">
        <v>0.92471979787007985</v>
      </c>
      <c r="W47" s="184">
        <v>27.491796646683699</v>
      </c>
      <c r="X47" s="184">
        <v>8748.9236349578005</v>
      </c>
      <c r="Y47" s="184">
        <f t="shared" si="66"/>
        <v>8.7489236349577997</v>
      </c>
      <c r="Z47" s="184">
        <v>6.329408588445987</v>
      </c>
      <c r="AA47" s="184">
        <v>1.3066275181928075</v>
      </c>
      <c r="AB47" s="184">
        <f>Z47*conversions!$C$6/conversions!$C$8</f>
        <v>23.19242608486665</v>
      </c>
      <c r="AC47" s="184">
        <f>AA47*conversions!$C$6/conversions!$C$8</f>
        <v>4.7877873126183701</v>
      </c>
      <c r="AD47" s="184">
        <f t="shared" si="7"/>
        <v>27.98021339748502</v>
      </c>
      <c r="AE47" s="212">
        <f t="shared" si="43"/>
        <v>7639.0880674185264</v>
      </c>
      <c r="AF47" s="212">
        <f t="shared" si="44"/>
        <v>3.6627687952470955</v>
      </c>
      <c r="AG47" s="184">
        <f>M47*conversions!$C$1*1000000/data!L47</f>
        <v>17601.192411631037</v>
      </c>
      <c r="AH47" s="184">
        <f>N47*conversions!$C$1*1000/C47</f>
        <v>48880.038554376006</v>
      </c>
      <c r="AI47" s="184">
        <f>O47*conversions!$C$1*1000/D47</f>
        <v>9491.8652617930493</v>
      </c>
      <c r="AK47" s="192">
        <f t="shared" si="45"/>
        <v>17601.192411631037</v>
      </c>
      <c r="AL47" s="192">
        <f t="shared" si="46"/>
        <v>95297949202434.094</v>
      </c>
      <c r="AM47" s="192">
        <f>data!AL47/(1000000*conversions!$C$1)</f>
        <v>8168.395645922923</v>
      </c>
      <c r="AN47" s="192">
        <f t="shared" si="47"/>
        <v>8168.395645922923</v>
      </c>
      <c r="AO47" s="212">
        <f t="shared" ref="AO47:AO74" si="72">(V47+U47)/(U46+V46)</f>
        <v>1.1420485942779628</v>
      </c>
      <c r="AQ47" s="212">
        <f t="shared" ref="AQ47:AQ74" si="73">((U47+V47)-(U46+V46))/AM47</f>
        <v>1.5821425291757777E-5</v>
      </c>
      <c r="AR47" s="212">
        <f t="shared" si="58"/>
        <v>11.785462552282524</v>
      </c>
      <c r="AS47" s="212">
        <f t="shared" ref="AS47:AS74" si="74">Y47-Y46</f>
        <v>0.9617714233531709</v>
      </c>
      <c r="AT47" s="212">
        <f t="shared" si="48"/>
        <v>3.3656299031506426E-3</v>
      </c>
      <c r="AU47" s="212">
        <f t="shared" si="67"/>
        <v>1.0710700135251939E-3</v>
      </c>
      <c r="BR47" s="212" t="str">
        <f t="shared" si="49"/>
        <v/>
      </c>
      <c r="CD47" s="173">
        <f t="shared" si="63"/>
        <v>1991</v>
      </c>
      <c r="CE47" s="173">
        <f t="shared" si="50"/>
        <v>3251.6416944149782</v>
      </c>
      <c r="CF47" s="173">
        <f t="shared" si="51"/>
        <v>1717.6691378019366</v>
      </c>
      <c r="CG47" s="173">
        <f t="shared" si="52"/>
        <v>2195.4613169797999</v>
      </c>
      <c r="CH47" s="173">
        <f t="shared" si="53"/>
        <v>474.31591822181161</v>
      </c>
      <c r="CI47" s="173"/>
      <c r="CJ47" s="173">
        <f t="shared" si="54"/>
        <v>500.77674724946644</v>
      </c>
      <c r="CK47" s="173">
        <f t="shared" si="55"/>
        <v>36.240720281641501</v>
      </c>
      <c r="CL47" s="173">
        <v>0</v>
      </c>
      <c r="CM47" s="173">
        <f t="shared" si="65"/>
        <v>0.114314810374135</v>
      </c>
      <c r="CN47" s="173">
        <f t="shared" si="62"/>
        <v>0.92471979787007985</v>
      </c>
      <c r="CO47" s="173"/>
      <c r="CP47" s="174"/>
      <c r="CQ47" s="174"/>
      <c r="CR47" s="174"/>
      <c r="CT47" s="190">
        <f t="shared" si="56"/>
        <v>5.1678459384417836</v>
      </c>
      <c r="CU47" s="190">
        <f t="shared" si="57"/>
        <v>27.98021339748502</v>
      </c>
      <c r="CV47" s="198">
        <f t="shared" si="59"/>
        <v>1342.1525621401474</v>
      </c>
      <c r="CW47" s="198">
        <f t="shared" si="60"/>
        <v>1342.1525621401474</v>
      </c>
      <c r="CX47" s="198">
        <v>1342.1525621401474</v>
      </c>
      <c r="CY47" s="198">
        <f t="shared" si="61"/>
        <v>0</v>
      </c>
      <c r="CZ47" s="199">
        <f>IF(CX47&lt;intermediates!$B$55,intermediates!$B$56+(CX47-intermediates!$B$55)*intermediates!$B$53,intermediates!$B$56+(data!CX47-intermediates!$B$55)*intermediates!$B$58)</f>
        <v>0.69895391364614123</v>
      </c>
      <c r="DA47" s="220">
        <v>1489500.9269999999</v>
      </c>
      <c r="DB47" s="220">
        <v>3333298.02</v>
      </c>
      <c r="DC47" s="220">
        <v>4121002.7579999999</v>
      </c>
      <c r="DD47" s="209">
        <f t="shared" si="33"/>
        <v>2.2347690165466535E-3</v>
      </c>
      <c r="DE47" s="209">
        <f t="shared" si="34"/>
        <v>3.7166039483601962E-4</v>
      </c>
      <c r="DF47" s="209">
        <f t="shared" ref="DF47:DF72" si="75">(DC47-DC46)/$DC$73</f>
        <v>-1.8170750684659812E-3</v>
      </c>
      <c r="DG47" s="201">
        <f t="shared" si="8"/>
        <v>14895009270000</v>
      </c>
      <c r="DH47" s="201">
        <f t="shared" si="8"/>
        <v>33332980200000</v>
      </c>
      <c r="DI47" s="201">
        <f t="shared" si="8"/>
        <v>41210027580000</v>
      </c>
      <c r="DJ47" s="220">
        <v>7571363117434100</v>
      </c>
      <c r="DK47" s="220">
        <v>989803614997440</v>
      </c>
      <c r="DL47" s="220">
        <v>8561166732431540</v>
      </c>
      <c r="DM47" s="220">
        <v>2089542983082780</v>
      </c>
      <c r="DN47" s="220">
        <v>99445564432641.203</v>
      </c>
      <c r="DO47" s="220">
        <v>2188988547515420</v>
      </c>
      <c r="DP47" s="220">
        <v>4251445035863460</v>
      </c>
      <c r="DQ47" s="220">
        <v>802664850234474</v>
      </c>
      <c r="DR47" s="220">
        <v>5054109886097940</v>
      </c>
      <c r="DS47" s="220">
        <v>488354997731177</v>
      </c>
      <c r="DT47" s="220">
        <v>83449614114559.906</v>
      </c>
      <c r="DU47" s="220">
        <v>571804611845737</v>
      </c>
      <c r="DV47" s="220">
        <v>1322349136788320</v>
      </c>
      <c r="DW47" s="220">
        <v>2345633236431.1099</v>
      </c>
      <c r="DX47" s="220">
        <v>1324694770024750</v>
      </c>
      <c r="DY47" s="220">
        <v>274246573665074</v>
      </c>
      <c r="DZ47" s="220">
        <v>3506488990232.96</v>
      </c>
      <c r="EA47" s="220">
        <v>277753062655306</v>
      </c>
      <c r="EB47" s="220">
        <v>371029313972833</v>
      </c>
      <c r="EC47" s="220">
        <v>13283417551783.801</v>
      </c>
      <c r="ED47" s="220">
        <v>384312731524617</v>
      </c>
      <c r="EE47" s="212">
        <f t="shared" si="9"/>
        <v>2557.4688423092603</v>
      </c>
      <c r="EG47" s="212">
        <f t="shared" si="10"/>
        <v>0.15881428546742121</v>
      </c>
      <c r="EI47" s="212">
        <f t="shared" si="35"/>
        <v>0.15881428546742121</v>
      </c>
      <c r="EJ47" s="212">
        <v>0.32320192597050856</v>
      </c>
      <c r="EK47" s="212">
        <v>0.1262854792266557</v>
      </c>
      <c r="EL47" s="212">
        <v>6.7479320853286895E-2</v>
      </c>
      <c r="EM47" s="212">
        <v>0.27796706416808631</v>
      </c>
      <c r="EN47" s="212">
        <f t="shared" si="11"/>
        <v>2151.306255512719</v>
      </c>
      <c r="EP47" s="212">
        <f t="shared" si="12"/>
        <v>406.16258679653811</v>
      </c>
      <c r="ER47" s="215">
        <f t="shared" si="13"/>
        <v>508.31543506881616</v>
      </c>
      <c r="ES47" s="209">
        <f t="shared" si="42"/>
        <v>-12.832478353350723</v>
      </c>
      <c r="EU47" s="215">
        <f t="shared" si="14"/>
        <v>508.31543506881616</v>
      </c>
      <c r="EV47" s="216">
        <f>data!EU47*conversions!$C$13</f>
        <v>0.59117085098503319</v>
      </c>
      <c r="EW47" s="217">
        <f t="shared" si="15"/>
        <v>3.3676357304561082E-2</v>
      </c>
      <c r="EX47" s="217"/>
      <c r="EZ47" s="217">
        <f t="shared" si="36"/>
        <v>3.3676357304561082E-2</v>
      </c>
      <c r="FA47" s="212">
        <f t="shared" si="16"/>
        <v>2.1110682477030398</v>
      </c>
      <c r="FD47" s="212">
        <f t="shared" si="37"/>
        <v>2.1110682477030398</v>
      </c>
      <c r="FE47" s="184">
        <f t="shared" si="17"/>
        <v>0.81093343979810584</v>
      </c>
      <c r="FG47" s="184">
        <f t="shared" si="38"/>
        <v>0.81093343979810584</v>
      </c>
      <c r="FH47" s="184">
        <f t="shared" si="18"/>
        <v>3.6221558708970612E-2</v>
      </c>
      <c r="FJ47" s="184">
        <f t="shared" si="39"/>
        <v>3.6221558708970612E-2</v>
      </c>
      <c r="FK47" s="184">
        <f t="shared" si="19"/>
        <v>4.900429529241402E-2</v>
      </c>
      <c r="FM47" s="184">
        <f t="shared" si="40"/>
        <v>4.900429529241402E-2</v>
      </c>
      <c r="FN47" s="218"/>
      <c r="FO47" s="218">
        <f t="shared" si="20"/>
        <v>802664850234474</v>
      </c>
      <c r="FP47" s="218">
        <f t="shared" si="21"/>
        <v>989803614997440</v>
      </c>
      <c r="FQ47" s="218">
        <f t="shared" si="22"/>
        <v>33332980200000.004</v>
      </c>
      <c r="FR47" s="218">
        <f t="shared" si="23"/>
        <v>2089542983082780</v>
      </c>
      <c r="FS47" s="218">
        <f t="shared" si="24"/>
        <v>4110721097422.3042</v>
      </c>
      <c r="FT47" s="218">
        <f>intermediates!$B$69*data!EU47/intermediates!$B$71</f>
        <v>1.2938324508067103</v>
      </c>
      <c r="FU47" s="218">
        <f>(Y47+W47)*conversions!$C$1*1000000</f>
        <v>422808403285.8175</v>
      </c>
      <c r="FV47" s="218">
        <f t="shared" si="41"/>
        <v>326787601456.58319</v>
      </c>
      <c r="FW47" s="221">
        <f t="shared" si="25"/>
        <v>621513237634.31836</v>
      </c>
      <c r="FX47" s="221">
        <f t="shared" si="26"/>
        <v>294725636177.73517</v>
      </c>
      <c r="FY47" s="221">
        <f>FX47*intermediates!$B$72*1000*ER47/(intermediates!$B$71*10000*1000000000)</f>
        <v>30.506047373712473</v>
      </c>
      <c r="FZ47" s="221">
        <f t="shared" si="27"/>
        <v>5.6343584939321065</v>
      </c>
      <c r="GA47" s="218"/>
      <c r="GB47" s="218"/>
      <c r="GC47" s="218">
        <f t="shared" si="28"/>
        <v>8363792917852.0732</v>
      </c>
      <c r="GD47" s="218">
        <f t="shared" si="29"/>
        <v>13096027252908.695</v>
      </c>
      <c r="GE47" s="218">
        <f t="shared" si="30"/>
        <v>14316131812637.08</v>
      </c>
      <c r="GF47" s="218">
        <f t="shared" si="31"/>
        <v>518552608936.79584</v>
      </c>
      <c r="GG47" s="218">
        <f t="shared" si="32"/>
        <v>701551950791.58984</v>
      </c>
      <c r="GH47" s="218"/>
      <c r="GI47" s="218"/>
      <c r="GJ47" s="218"/>
      <c r="GK47" s="218"/>
      <c r="GL47" s="218"/>
      <c r="GM47" s="218"/>
      <c r="GN47" s="218"/>
      <c r="GO47" s="218"/>
      <c r="GP47" s="218"/>
      <c r="GQ47" s="218"/>
      <c r="GR47" s="218"/>
      <c r="GS47" s="218"/>
      <c r="GT47" s="218"/>
      <c r="GU47" s="218"/>
      <c r="GV47" s="218"/>
      <c r="GW47" s="218"/>
      <c r="GX47" s="218"/>
      <c r="GY47" s="218"/>
      <c r="GZ47" s="218"/>
      <c r="HA47" s="218"/>
      <c r="HB47" s="218"/>
      <c r="HC47" s="218"/>
      <c r="HD47" s="218"/>
      <c r="HE47" s="218"/>
      <c r="HF47" s="218"/>
      <c r="HG47" s="218"/>
      <c r="HH47" s="218"/>
      <c r="HI47" s="218"/>
      <c r="HJ47" s="218"/>
      <c r="HK47" s="218"/>
      <c r="HL47" s="218"/>
      <c r="HM47" s="188">
        <f t="shared" si="64"/>
        <v>1991</v>
      </c>
      <c r="HN47" s="185">
        <f t="shared" si="68"/>
        <v>2751.055256996041</v>
      </c>
      <c r="HO47" s="185">
        <f t="shared" si="69"/>
        <v>6156.4829365530795</v>
      </c>
      <c r="HP47" s="185">
        <f t="shared" si="70"/>
        <v>7611.345582929659</v>
      </c>
      <c r="IC47" s="185">
        <f t="shared" si="71"/>
        <v>8907.5381935491205</v>
      </c>
    </row>
    <row r="48" spans="1:237" x14ac:dyDescent="0.3">
      <c r="A48" s="211">
        <v>1992</v>
      </c>
      <c r="B48" s="207">
        <v>5498919.8930000002</v>
      </c>
      <c r="C48" s="207">
        <v>1123821.2979999997</v>
      </c>
      <c r="D48" s="207">
        <f t="shared" si="1"/>
        <v>4375098.5950000007</v>
      </c>
      <c r="H48" s="207">
        <f t="shared" si="5"/>
        <v>5498919893</v>
      </c>
      <c r="L48" s="187">
        <f t="shared" si="6"/>
        <v>5498919893</v>
      </c>
      <c r="M48" s="184">
        <v>8223.8686826054618</v>
      </c>
      <c r="N48" s="184">
        <v>4719.5349027549764</v>
      </c>
      <c r="O48" s="184">
        <v>3504.3337798504808</v>
      </c>
      <c r="P48" s="184">
        <v>3307.2428525825462</v>
      </c>
      <c r="Q48" s="184">
        <v>1717.9081732430195</v>
      </c>
      <c r="R48" s="184">
        <v>2189.6984530968502</v>
      </c>
      <c r="S48" s="184">
        <v>477.91769331402833</v>
      </c>
      <c r="T48" s="184">
        <v>500.40856067416735</v>
      </c>
      <c r="U48" s="184">
        <v>0.10602912374716464</v>
      </c>
      <c r="V48" s="184">
        <v>1.0710078334505753</v>
      </c>
      <c r="W48" s="184">
        <v>29.515912737647302</v>
      </c>
      <c r="X48" s="184">
        <v>8408.2878340895459</v>
      </c>
      <c r="Y48" s="184">
        <f t="shared" si="66"/>
        <v>8.4082878340895455</v>
      </c>
      <c r="Z48" s="184">
        <v>6.1316663330375301</v>
      </c>
      <c r="AA48" s="184">
        <v>1.315199822421504</v>
      </c>
      <c r="AB48" s="184">
        <f>Z48*conversions!$C$6/conversions!$C$8</f>
        <v>22.467852441321629</v>
      </c>
      <c r="AC48" s="184">
        <f>AA48*conversions!$C$6/conversions!$C$8</f>
        <v>4.8191982303088405</v>
      </c>
      <c r="AD48" s="184">
        <f t="shared" si="7"/>
        <v>27.287050671630467</v>
      </c>
      <c r="AE48" s="212">
        <f t="shared" si="43"/>
        <v>7692.7671722364439</v>
      </c>
      <c r="AF48" s="212">
        <f t="shared" si="44"/>
        <v>3.5471047102674191</v>
      </c>
      <c r="AG48" s="184">
        <f>M48*conversions!$C$1*1000000/data!L48</f>
        <v>17447.996424267432</v>
      </c>
      <c r="AH48" s="184">
        <f>N48*conversions!$C$1*1000/C48</f>
        <v>48994.658341260052</v>
      </c>
      <c r="AI48" s="184">
        <f>O48*conversions!$C$1*1000/D48</f>
        <v>9344.6794879043409</v>
      </c>
      <c r="AK48" s="192">
        <f t="shared" si="45"/>
        <v>17447.996424267432</v>
      </c>
      <c r="AL48" s="192">
        <f t="shared" si="46"/>
        <v>95945134630397.047</v>
      </c>
      <c r="AM48" s="192">
        <f>data!AL48/(1000000*conversions!$C$1)</f>
        <v>8223.8686826054618</v>
      </c>
      <c r="AN48" s="192">
        <f t="shared" si="47"/>
        <v>8223.8686826054618</v>
      </c>
      <c r="AO48" s="212">
        <f t="shared" si="72"/>
        <v>1.132817855977603</v>
      </c>
      <c r="AQ48" s="212">
        <f t="shared" si="73"/>
        <v>1.6780709211154822E-5</v>
      </c>
      <c r="AR48" s="212">
        <f t="shared" si="58"/>
        <v>-0.3681865752990916</v>
      </c>
      <c r="AS48" s="212">
        <f t="shared" si="74"/>
        <v>-0.34063580086825418</v>
      </c>
      <c r="AT48" s="212">
        <f t="shared" si="48"/>
        <v>3.5890544799283149E-3</v>
      </c>
      <c r="AU48" s="212">
        <f t="shared" si="67"/>
        <v>1.0224248657902521E-3</v>
      </c>
      <c r="BR48" s="212" t="str">
        <f t="shared" si="49"/>
        <v/>
      </c>
      <c r="CD48" s="173">
        <f t="shared" si="63"/>
        <v>1992</v>
      </c>
      <c r="CE48" s="173">
        <f t="shared" si="50"/>
        <v>3307.2428525825462</v>
      </c>
      <c r="CF48" s="173">
        <f t="shared" si="51"/>
        <v>1717.9081732430195</v>
      </c>
      <c r="CG48" s="173">
        <f t="shared" si="52"/>
        <v>2189.6984530968502</v>
      </c>
      <c r="CH48" s="173">
        <f t="shared" si="53"/>
        <v>477.91769331402833</v>
      </c>
      <c r="CI48" s="173"/>
      <c r="CJ48" s="173">
        <f t="shared" si="54"/>
        <v>500.40856067416735</v>
      </c>
      <c r="CK48" s="173">
        <f t="shared" si="55"/>
        <v>37.924200571736847</v>
      </c>
      <c r="CL48" s="173">
        <v>0</v>
      </c>
      <c r="CM48" s="173">
        <f t="shared" si="65"/>
        <v>0.10602912374716464</v>
      </c>
      <c r="CN48" s="173">
        <f t="shared" si="62"/>
        <v>1.0710078334505753</v>
      </c>
      <c r="CO48" s="173"/>
      <c r="CP48" s="174"/>
      <c r="CQ48" s="174"/>
      <c r="CR48" s="174"/>
      <c r="CT48" s="190">
        <f t="shared" si="56"/>
        <v>4.9622564435547174</v>
      </c>
      <c r="CU48" s="190">
        <f t="shared" si="57"/>
        <v>27.287050671630467</v>
      </c>
      <c r="CV48" s="198">
        <f t="shared" si="59"/>
        <v>1369.4396128117778</v>
      </c>
      <c r="CW48" s="198">
        <f t="shared" si="60"/>
        <v>1369.4396128117778</v>
      </c>
      <c r="CX48" s="198">
        <v>1369.4396128117778</v>
      </c>
      <c r="CY48" s="198">
        <f t="shared" si="61"/>
        <v>0</v>
      </c>
      <c r="CZ48" s="199">
        <f>IF(CX48&lt;intermediates!$B$55,intermediates!$B$56+(CX48-intermediates!$B$55)*intermediates!$B$53,intermediates!$B$56+(data!CX48-intermediates!$B$55)*intermediates!$B$58)</f>
        <v>0.71379260355267604</v>
      </c>
      <c r="DA48" s="220">
        <v>1485904.78</v>
      </c>
      <c r="DB48" s="220">
        <v>3375081.32</v>
      </c>
      <c r="DC48" s="220">
        <v>4113736.0320000001</v>
      </c>
      <c r="DD48" s="209">
        <f t="shared" si="33"/>
        <v>-2.303248798243002E-3</v>
      </c>
      <c r="DE48" s="209">
        <f t="shared" si="34"/>
        <v>1.2791760935380387E-2</v>
      </c>
      <c r="DF48" s="209">
        <f t="shared" si="75"/>
        <v>-1.8170750684658647E-3</v>
      </c>
      <c r="DG48" s="201">
        <f t="shared" si="8"/>
        <v>14859047800000</v>
      </c>
      <c r="DH48" s="201">
        <f t="shared" si="8"/>
        <v>33750813200000</v>
      </c>
      <c r="DI48" s="201">
        <f t="shared" si="8"/>
        <v>41137360320000</v>
      </c>
      <c r="DJ48" s="220">
        <v>7868667847332210</v>
      </c>
      <c r="DK48" s="220">
        <v>992059517079960</v>
      </c>
      <c r="DL48" s="220">
        <v>8860727364412180</v>
      </c>
      <c r="DM48" s="220">
        <v>2147426571858690</v>
      </c>
      <c r="DN48" s="220">
        <v>97118716269901</v>
      </c>
      <c r="DO48" s="220">
        <v>2244545288128590</v>
      </c>
      <c r="DP48" s="220">
        <v>4333177267999600</v>
      </c>
      <c r="DQ48" s="220">
        <v>811558457589073</v>
      </c>
      <c r="DR48" s="220">
        <v>5144735725588670</v>
      </c>
      <c r="DS48" s="220">
        <v>441595205102474</v>
      </c>
      <c r="DT48" s="220">
        <v>76655505000458.5</v>
      </c>
      <c r="DU48" s="220">
        <v>518250710102933</v>
      </c>
      <c r="DV48" s="220">
        <v>1356498905602040</v>
      </c>
      <c r="DW48" s="220">
        <v>2036418467434.8999</v>
      </c>
      <c r="DX48" s="220">
        <v>1358535324069470</v>
      </c>
      <c r="DY48" s="220">
        <v>284699975230552</v>
      </c>
      <c r="DZ48" s="220">
        <v>3594426841406.1699</v>
      </c>
      <c r="EA48" s="220">
        <v>288294402071958</v>
      </c>
      <c r="EB48" s="220">
        <v>360762132974115</v>
      </c>
      <c r="EC48" s="220">
        <v>11291429886117.699</v>
      </c>
      <c r="ED48" s="220">
        <v>372053562860233</v>
      </c>
      <c r="EE48" s="212">
        <f t="shared" si="9"/>
        <v>2563.2609031854845</v>
      </c>
      <c r="EG48" s="212">
        <f t="shared" si="10"/>
        <v>0.15774541217978946</v>
      </c>
      <c r="EI48" s="212">
        <f t="shared" si="35"/>
        <v>0.15774541217978946</v>
      </c>
      <c r="EJ48" s="212">
        <v>0.32547169811320753</v>
      </c>
      <c r="EK48" s="212">
        <v>0.13477198697068404</v>
      </c>
      <c r="EL48" s="212">
        <v>6.8152593227603947E-2</v>
      </c>
      <c r="EM48" s="212">
        <v>0.28153975835908962</v>
      </c>
      <c r="EN48" s="212">
        <f t="shared" si="11"/>
        <v>2158.9182554881522</v>
      </c>
      <c r="EP48" s="212">
        <f t="shared" si="12"/>
        <v>404.34264769733369</v>
      </c>
      <c r="ER48" s="215">
        <f t="shared" si="13"/>
        <v>529.5539763545421</v>
      </c>
      <c r="ES48" s="209">
        <f t="shared" si="42"/>
        <v>21.238541285725944</v>
      </c>
      <c r="EU48" s="215">
        <f t="shared" si="14"/>
        <v>529.5539763545421</v>
      </c>
      <c r="EV48" s="216">
        <f>data!EU48*conversions!$C$13</f>
        <v>0.61587127450033241</v>
      </c>
      <c r="EW48" s="217">
        <f t="shared" si="15"/>
        <v>3.4020956020201845E-2</v>
      </c>
      <c r="EX48" s="217"/>
      <c r="EZ48" s="217">
        <f t="shared" si="36"/>
        <v>3.4020956020201845E-2</v>
      </c>
      <c r="FA48" s="212">
        <f t="shared" si="16"/>
        <v>2.1646146575756378</v>
      </c>
      <c r="FD48" s="212">
        <f t="shared" si="37"/>
        <v>2.1646146575756378</v>
      </c>
      <c r="FE48" s="184">
        <f t="shared" si="17"/>
        <v>0.8180542030157868</v>
      </c>
      <c r="FG48" s="184">
        <f t="shared" si="38"/>
        <v>0.8180542030157868</v>
      </c>
      <c r="FH48" s="184">
        <f t="shared" si="18"/>
        <v>3.6181470708167782E-2</v>
      </c>
      <c r="FJ48" s="184">
        <f t="shared" si="39"/>
        <v>3.6181470708167782E-2</v>
      </c>
      <c r="FK48" s="184">
        <f t="shared" si="19"/>
        <v>4.5847930040207208E-2</v>
      </c>
      <c r="FM48" s="184">
        <f t="shared" si="40"/>
        <v>4.5847930040207208E-2</v>
      </c>
      <c r="FN48" s="218"/>
      <c r="FO48" s="218">
        <f t="shared" si="20"/>
        <v>811558457589072.88</v>
      </c>
      <c r="FP48" s="218">
        <f t="shared" si="21"/>
        <v>992059517079959.88</v>
      </c>
      <c r="FQ48" s="218">
        <f t="shared" si="22"/>
        <v>33750813199999.996</v>
      </c>
      <c r="FR48" s="218">
        <f t="shared" si="23"/>
        <v>2147426571858690</v>
      </c>
      <c r="FS48" s="218">
        <f t="shared" si="24"/>
        <v>4055160885848.8955</v>
      </c>
      <c r="FT48" s="218">
        <f>intermediates!$B$69*data!EU48/intermediates!$B$71</f>
        <v>1.3478916275058206</v>
      </c>
      <c r="FU48" s="218">
        <f>(Y48+W48)*conversions!$C$1*1000000</f>
        <v>442449006670.26318</v>
      </c>
      <c r="FV48" s="218">
        <f>FU48/FT48</f>
        <v>328252655956.46155</v>
      </c>
      <c r="FW48" s="221">
        <f t="shared" si="25"/>
        <v>562003597633.10742</v>
      </c>
      <c r="FX48" s="221">
        <f t="shared" si="26"/>
        <v>233750941676.64587</v>
      </c>
      <c r="FY48" s="221">
        <f>FX48*intermediates!$B$72*1000*ER48/(intermediates!$B$71*10000*1000000000)</f>
        <v>25.205674976604193</v>
      </c>
      <c r="FZ48" s="221">
        <f t="shared" si="27"/>
        <v>4.5837501667719227</v>
      </c>
      <c r="GA48" s="218"/>
      <c r="GB48" s="218"/>
      <c r="GC48" s="218">
        <f t="shared" si="28"/>
        <v>8182692343902.8066</v>
      </c>
      <c r="GD48" s="218">
        <f t="shared" si="29"/>
        <v>12799856827384.809</v>
      </c>
      <c r="GE48" s="218">
        <f t="shared" si="30"/>
        <v>13943645730941.584</v>
      </c>
      <c r="GF48" s="218">
        <f t="shared" si="31"/>
        <v>504501609579.13165</v>
      </c>
      <c r="GG48" s="218">
        <f t="shared" si="32"/>
        <v>639287293977.64368</v>
      </c>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188">
        <f t="shared" si="64"/>
        <v>1992</v>
      </c>
      <c r="HN48" s="185">
        <f t="shared" si="68"/>
        <v>2702.1757161647743</v>
      </c>
      <c r="HO48" s="185">
        <f t="shared" si="69"/>
        <v>6137.716834712216</v>
      </c>
      <c r="HP48" s="185">
        <f t="shared" si="70"/>
        <v>7480.9891979635722</v>
      </c>
      <c r="IC48" s="185">
        <f t="shared" si="71"/>
        <v>8839.8925508769917</v>
      </c>
    </row>
    <row r="49" spans="1:237" x14ac:dyDescent="0.3">
      <c r="A49" s="184">
        <v>1993</v>
      </c>
      <c r="B49" s="207">
        <v>5581597.5980000002</v>
      </c>
      <c r="C49" s="207">
        <v>1132986.5200000003</v>
      </c>
      <c r="D49" s="207">
        <f t="shared" si="1"/>
        <v>4448611.0779999997</v>
      </c>
      <c r="H49" s="207">
        <f t="shared" si="5"/>
        <v>5581597598</v>
      </c>
      <c r="L49" s="187">
        <f t="shared" si="6"/>
        <v>5581597598</v>
      </c>
      <c r="M49" s="184">
        <v>8286.3203493079818</v>
      </c>
      <c r="N49" s="184">
        <v>4787.6194121980152</v>
      </c>
      <c r="O49" s="184">
        <v>3498.7009371099698</v>
      </c>
      <c r="P49" s="184">
        <v>3286.6081419911266</v>
      </c>
      <c r="Q49" s="184">
        <v>1742.90384808622</v>
      </c>
      <c r="R49" s="184">
        <v>2200.0597450773553</v>
      </c>
      <c r="S49" s="184">
        <v>494.37677818855815</v>
      </c>
      <c r="T49" s="184">
        <v>530.44896381517788</v>
      </c>
      <c r="U49" s="184">
        <v>0.1259667656310666</v>
      </c>
      <c r="V49" s="184">
        <v>1.28921772625105</v>
      </c>
      <c r="W49" s="184">
        <v>30.507687657662586</v>
      </c>
      <c r="X49" s="184">
        <v>8565.1524206084614</v>
      </c>
      <c r="Y49" s="184">
        <f t="shared" si="66"/>
        <v>8.5651524206084613</v>
      </c>
      <c r="Z49" s="184">
        <v>6.1998773415566628</v>
      </c>
      <c r="AA49" s="184">
        <v>1.3129400724348561</v>
      </c>
      <c r="AB49" s="184">
        <f>Z49*conversions!$C$6/conversions!$C$8</f>
        <v>22.717793450998585</v>
      </c>
      <c r="AC49" s="184">
        <f>AA49*conversions!$C$6/conversions!$C$8</f>
        <v>4.8109179804555948</v>
      </c>
      <c r="AD49" s="184">
        <f t="shared" si="7"/>
        <v>27.52871143145418</v>
      </c>
      <c r="AE49" s="212">
        <f t="shared" si="43"/>
        <v>7723.948513343259</v>
      </c>
      <c r="AF49" s="212">
        <f t="shared" si="44"/>
        <v>3.564072363234664</v>
      </c>
      <c r="AG49" s="184">
        <f>M49*conversions!$C$1*1000000/data!L49</f>
        <v>17320.083669814048</v>
      </c>
      <c r="AH49" s="184">
        <f>N49*conversions!$C$1*1000/C49</f>
        <v>49299.403676026821</v>
      </c>
      <c r="AI49" s="184">
        <f>O49*conversions!$C$1*1000/D49</f>
        <v>9175.4880082633099</v>
      </c>
      <c r="AK49" s="192">
        <f t="shared" si="45"/>
        <v>17320.083669814048</v>
      </c>
      <c r="AL49" s="192">
        <f t="shared" si="46"/>
        <v>96673737408593.125</v>
      </c>
      <c r="AM49" s="192">
        <f>data!AL49/(1000000*conversions!$C$1)</f>
        <v>8286.3203493079818</v>
      </c>
      <c r="AN49" s="192">
        <f t="shared" si="47"/>
        <v>8286.3203493079818</v>
      </c>
      <c r="AO49" s="212">
        <f t="shared" si="72"/>
        <v>1.2023280010267072</v>
      </c>
      <c r="AP49" s="212">
        <f t="shared" ref="AP49:AP71" si="76">AVERAGE(AO47:AO51)</f>
        <v>1.1729574553352724</v>
      </c>
      <c r="AQ49" s="212">
        <f t="shared" si="73"/>
        <v>2.8739841648080278E-5</v>
      </c>
      <c r="AR49" s="212">
        <f t="shared" si="58"/>
        <v>30.040403141010529</v>
      </c>
      <c r="AS49" s="212">
        <f t="shared" si="74"/>
        <v>0.15686458651891577</v>
      </c>
      <c r="AT49" s="212">
        <f t="shared" si="48"/>
        <v>3.6816930038446297E-3</v>
      </c>
      <c r="AU49" s="212">
        <f t="shared" si="67"/>
        <v>1.0336496852096438E-3</v>
      </c>
      <c r="BR49" s="212" t="str">
        <f t="shared" si="49"/>
        <v/>
      </c>
      <c r="CD49" s="173">
        <f t="shared" si="63"/>
        <v>1993</v>
      </c>
      <c r="CE49" s="173">
        <f t="shared" si="50"/>
        <v>3286.6081419911266</v>
      </c>
      <c r="CF49" s="173">
        <f t="shared" si="51"/>
        <v>1742.90384808622</v>
      </c>
      <c r="CG49" s="173">
        <f t="shared" si="52"/>
        <v>2200.0597450773553</v>
      </c>
      <c r="CH49" s="173">
        <f t="shared" si="53"/>
        <v>494.37677818855815</v>
      </c>
      <c r="CI49" s="173"/>
      <c r="CJ49" s="173">
        <f t="shared" si="54"/>
        <v>530.44896381517788</v>
      </c>
      <c r="CK49" s="173">
        <f t="shared" si="55"/>
        <v>39.072840078271049</v>
      </c>
      <c r="CL49" s="173">
        <v>0</v>
      </c>
      <c r="CM49" s="173">
        <f t="shared" si="65"/>
        <v>0.1259667656310666</v>
      </c>
      <c r="CN49" s="173">
        <f t="shared" si="62"/>
        <v>1.28921772625105</v>
      </c>
      <c r="CO49" s="173"/>
      <c r="CP49" s="174"/>
      <c r="CQ49" s="174"/>
      <c r="CR49" s="174"/>
      <c r="CT49" s="190">
        <f t="shared" si="56"/>
        <v>4.9320487455631481</v>
      </c>
      <c r="CU49" s="190">
        <f t="shared" si="57"/>
        <v>27.52871143145418</v>
      </c>
      <c r="CV49" s="198">
        <f t="shared" si="59"/>
        <v>1396.968324243232</v>
      </c>
      <c r="CW49" s="198">
        <f t="shared" si="60"/>
        <v>1396.968324243232</v>
      </c>
      <c r="CX49" s="198">
        <v>1396.968324243232</v>
      </c>
      <c r="CY49" s="198">
        <f t="shared" si="61"/>
        <v>0</v>
      </c>
      <c r="CZ49" s="199">
        <f>IF(CX49&lt;intermediates!$B$55,intermediates!$B$56+(CX49-intermediates!$B$55)*intermediates!$B$53,intermediates!$B$56+(data!CX49-intermediates!$B$55)*intermediates!$B$58)</f>
        <v>0.7287627085073507</v>
      </c>
      <c r="DA49" s="220">
        <v>1486464.2</v>
      </c>
      <c r="DB49" s="220">
        <v>3357970.82</v>
      </c>
      <c r="DC49" s="220">
        <v>4106469.3059999999</v>
      </c>
      <c r="DD49" s="209">
        <f t="shared" si="33"/>
        <v>3.5829554317801001E-4</v>
      </c>
      <c r="DE49" s="209">
        <f t="shared" si="34"/>
        <v>-5.2382991646142615E-3</v>
      </c>
      <c r="DF49" s="209">
        <f t="shared" si="75"/>
        <v>-1.8170750684659812E-3</v>
      </c>
      <c r="DG49" s="201">
        <f t="shared" ref="DG49:DI73" si="77">DA49*10000000</f>
        <v>14864642000000</v>
      </c>
      <c r="DH49" s="201">
        <f t="shared" si="77"/>
        <v>33579708200000</v>
      </c>
      <c r="DI49" s="201">
        <f t="shared" si="77"/>
        <v>41064693060000</v>
      </c>
      <c r="DJ49" s="220">
        <v>7677074525456010</v>
      </c>
      <c r="DK49" s="220">
        <v>1002765756946350</v>
      </c>
      <c r="DL49" s="220">
        <v>8679840282402370</v>
      </c>
      <c r="DM49" s="220">
        <v>2134496636273190</v>
      </c>
      <c r="DN49" s="220">
        <v>93337579197781.5</v>
      </c>
      <c r="DO49" s="220">
        <v>2227834215470970</v>
      </c>
      <c r="DP49" s="220">
        <v>4404111876440380</v>
      </c>
      <c r="DQ49" s="220">
        <v>824641996729419</v>
      </c>
      <c r="DR49" s="220">
        <v>5228753873169800</v>
      </c>
      <c r="DS49" s="220">
        <v>475860429715324</v>
      </c>
      <c r="DT49" s="220">
        <v>74742550330928.703</v>
      </c>
      <c r="DU49" s="220">
        <v>550602980046253</v>
      </c>
      <c r="DV49" s="220">
        <v>1349667298704030</v>
      </c>
      <c r="DW49" s="220">
        <v>1965123013125.5</v>
      </c>
      <c r="DX49" s="220">
        <v>1351632421717150</v>
      </c>
      <c r="DY49" s="220">
        <v>281221606509478</v>
      </c>
      <c r="DZ49" s="220">
        <v>3713678546594.6401</v>
      </c>
      <c r="EA49" s="220">
        <v>284935285056072</v>
      </c>
      <c r="EB49" s="220">
        <v>356901017609781</v>
      </c>
      <c r="EC49" s="220">
        <v>11108970976135.801</v>
      </c>
      <c r="ED49" s="220">
        <v>368009988585917</v>
      </c>
      <c r="EE49" s="212">
        <f t="shared" ref="EE49:EE69" si="78">DR49/(L49*365)</f>
        <v>2566.5327579886089</v>
      </c>
      <c r="EG49" s="212">
        <f t="shared" si="10"/>
        <v>0.15771291147607616</v>
      </c>
      <c r="EI49" s="212">
        <f t="shared" si="35"/>
        <v>0.15771291147607616</v>
      </c>
      <c r="EJ49" s="212">
        <v>0.31792629606495942</v>
      </c>
      <c r="EK49" s="212">
        <v>0.13947990543735225</v>
      </c>
      <c r="EL49" s="212">
        <v>7.1397091229616572E-2</v>
      </c>
      <c r="EM49" s="212">
        <v>0.27739251040221913</v>
      </c>
      <c r="EN49" s="212">
        <f t="shared" ref="EN49:EN69" si="79">DP49/(365*L49)</f>
        <v>2161.7574043275013</v>
      </c>
      <c r="EP49" s="212">
        <f t="shared" ref="EP49:EP69" si="80">DQ49/(365*L49)</f>
        <v>404.77535366110703</v>
      </c>
      <c r="ER49" s="215">
        <f t="shared" si="13"/>
        <v>516.46548402955216</v>
      </c>
      <c r="ES49" s="209">
        <f t="shared" si="42"/>
        <v>-13.088492324989943</v>
      </c>
      <c r="EU49" s="215">
        <f t="shared" si="14"/>
        <v>516.46548402955216</v>
      </c>
      <c r="EV49" s="216">
        <f>data!EU49*conversions!$C$13</f>
        <v>0.6006493579263692</v>
      </c>
      <c r="EW49" s="217">
        <f t="shared" si="15"/>
        <v>3.3487091045328328E-2</v>
      </c>
      <c r="EX49" s="217"/>
      <c r="EZ49" s="217">
        <f t="shared" si="36"/>
        <v>3.3487091045328328E-2</v>
      </c>
      <c r="FA49" s="212">
        <f t="shared" si="16"/>
        <v>2.1286094199838037</v>
      </c>
      <c r="FD49" s="212">
        <f t="shared" si="37"/>
        <v>2.1286094199838037</v>
      </c>
      <c r="FE49" s="184">
        <f t="shared" si="17"/>
        <v>0.82236752802632751</v>
      </c>
      <c r="FG49" s="184">
        <f t="shared" si="38"/>
        <v>0.82236752802632751</v>
      </c>
      <c r="FH49" s="184">
        <f t="shared" si="18"/>
        <v>3.663135033755241E-2</v>
      </c>
      <c r="FJ49" s="184">
        <f t="shared" si="39"/>
        <v>3.663135033755241E-2</v>
      </c>
      <c r="FK49" s="184">
        <f t="shared" si="19"/>
        <v>4.6489195386387301E-2</v>
      </c>
      <c r="FM49" s="184">
        <f t="shared" si="40"/>
        <v>4.6489195386387301E-2</v>
      </c>
      <c r="FN49" s="218"/>
      <c r="FO49" s="218">
        <f t="shared" ref="FO49:FO80" si="81">(EP49+EQ49)*L49*365</f>
        <v>824641996729419</v>
      </c>
      <c r="FP49" s="218">
        <f t="shared" si="21"/>
        <v>1002765756946350</v>
      </c>
      <c r="FQ49" s="218">
        <f t="shared" si="22"/>
        <v>33579708200000</v>
      </c>
      <c r="FR49" s="218">
        <f t="shared" si="23"/>
        <v>2134496636273190</v>
      </c>
      <c r="FS49" s="218">
        <f t="shared" si="24"/>
        <v>4132893101818.6958</v>
      </c>
      <c r="FT49" s="218">
        <f>intermediates!$B$69*data!EU49/intermediates!$B$71</f>
        <v>1.3145770457837174</v>
      </c>
      <c r="FU49" s="218">
        <f>(Y49+W49)*conversions!$C$1*1000000</f>
        <v>455849800913.16223</v>
      </c>
      <c r="FV49" s="218">
        <f t="shared" si="41"/>
        <v>346765373984.90491</v>
      </c>
      <c r="FW49" s="221">
        <f t="shared" si="25"/>
        <v>605611814578.44189</v>
      </c>
      <c r="FX49" s="221">
        <f t="shared" si="26"/>
        <v>258846440593.53699</v>
      </c>
      <c r="FY49" s="221">
        <f>FX49*intermediates!$B$72*1000*ER49/(intermediates!$B$71*10000*1000000000)</f>
        <v>27.221887134966586</v>
      </c>
      <c r="FZ49" s="221">
        <f t="shared" ref="FZ49:FZ69" si="82">1000000000*FY49/L49</f>
        <v>4.8770780510441565</v>
      </c>
      <c r="GA49" s="218"/>
      <c r="GB49" s="218"/>
      <c r="GC49" s="218">
        <f t="shared" ref="GC49:GC80" si="83">(EN49+EO49)*L49*365/EU49</f>
        <v>8527407953923.1641</v>
      </c>
      <c r="GD49" s="218">
        <f t="shared" si="29"/>
        <v>13265912870320.301</v>
      </c>
      <c r="GE49" s="218">
        <f t="shared" si="30"/>
        <v>14468546337745.844</v>
      </c>
      <c r="GF49" s="218">
        <f t="shared" si="31"/>
        <v>530002389773.07892</v>
      </c>
      <c r="GG49" s="218">
        <f t="shared" si="32"/>
        <v>672631077652.46497</v>
      </c>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188">
        <f t="shared" si="64"/>
        <v>1993</v>
      </c>
      <c r="HN49" s="185">
        <f t="shared" si="68"/>
        <v>2663.1518555415573</v>
      </c>
      <c r="HO49" s="185">
        <f t="shared" si="69"/>
        <v>6016.1463828980241</v>
      </c>
      <c r="HP49" s="185">
        <f t="shared" si="70"/>
        <v>7357.1575770195823</v>
      </c>
      <c r="IC49" s="185">
        <f t="shared" si="71"/>
        <v>8679.2982384395818</v>
      </c>
    </row>
    <row r="50" spans="1:237" x14ac:dyDescent="0.3">
      <c r="A50" s="211">
        <v>1994</v>
      </c>
      <c r="B50" s="207">
        <v>5663150.4280000003</v>
      </c>
      <c r="C50" s="207">
        <v>1142105.976</v>
      </c>
      <c r="D50" s="207">
        <f t="shared" si="1"/>
        <v>4521044.4520000005</v>
      </c>
      <c r="H50" s="207">
        <f t="shared" si="5"/>
        <v>5663150428</v>
      </c>
      <c r="L50" s="187">
        <f t="shared" si="6"/>
        <v>5663150428</v>
      </c>
      <c r="M50" s="184">
        <v>8395.6710745514811</v>
      </c>
      <c r="N50" s="184">
        <v>4871.2200894695725</v>
      </c>
      <c r="O50" s="184">
        <v>3524.4509850819122</v>
      </c>
      <c r="P50" s="184">
        <v>3359.4283234633931</v>
      </c>
      <c r="Q50" s="184">
        <v>1753.5834381259208</v>
      </c>
      <c r="R50" s="184">
        <v>2211.6528775054935</v>
      </c>
      <c r="S50" s="184">
        <v>503.66020168989809</v>
      </c>
      <c r="T50" s="184">
        <v>533.93956619553489</v>
      </c>
      <c r="U50" s="184">
        <v>0.13576818693946657</v>
      </c>
      <c r="V50" s="184">
        <v>1.6117413776174061</v>
      </c>
      <c r="W50" s="184">
        <v>31.659158006689495</v>
      </c>
      <c r="X50" s="184">
        <v>9512.0922802229106</v>
      </c>
      <c r="Y50" s="184">
        <f t="shared" si="66"/>
        <v>9.5120922802229106</v>
      </c>
      <c r="Z50" s="184">
        <v>6.2439463153321491</v>
      </c>
      <c r="AA50" s="184">
        <v>1.3068212776166159</v>
      </c>
      <c r="AB50" s="184">
        <f>Z50*conversions!$C$6/conversions!$C$8</f>
        <v>22.879272426900005</v>
      </c>
      <c r="AC50" s="184">
        <f>AA50*conversions!$C$6/conversions!$C$8</f>
        <v>4.7884972922400246</v>
      </c>
      <c r="AD50" s="184">
        <f t="shared" si="7"/>
        <v>27.667769719140029</v>
      </c>
      <c r="AE50" s="212">
        <f t="shared" si="43"/>
        <v>7828.3248407847059</v>
      </c>
      <c r="AF50" s="212">
        <f t="shared" si="44"/>
        <v>3.5343154866279964</v>
      </c>
      <c r="AG50" s="184">
        <f>M50*conversions!$C$1*1000000/data!L50</f>
        <v>17295.937502468772</v>
      </c>
      <c r="AH50" s="184">
        <f>N50*conversions!$C$1*1000/C50</f>
        <v>49759.744050066744</v>
      </c>
      <c r="AI50" s="184">
        <f>O50*conversions!$C$1*1000/D50</f>
        <v>9094.9326560515819</v>
      </c>
      <c r="AK50" s="192">
        <f t="shared" si="45"/>
        <v>17295.937502468772</v>
      </c>
      <c r="AL50" s="192">
        <f t="shared" si="46"/>
        <v>97949495869767.281</v>
      </c>
      <c r="AM50" s="192">
        <f>data!AL50/(1000000*conversions!$C$1)</f>
        <v>8395.6710745514811</v>
      </c>
      <c r="AN50" s="192">
        <f t="shared" si="47"/>
        <v>8395.6710745514811</v>
      </c>
      <c r="AO50" s="212">
        <f t="shared" si="72"/>
        <v>1.2348280910235119</v>
      </c>
      <c r="AP50" s="212">
        <f t="shared" si="76"/>
        <v>1.1671715966213436</v>
      </c>
      <c r="AQ50" s="212">
        <f t="shared" si="73"/>
        <v>3.9582907634635969E-5</v>
      </c>
      <c r="AR50" s="212">
        <f t="shared" si="58"/>
        <v>3.4906023803570179</v>
      </c>
      <c r="AS50" s="212">
        <f t="shared" si="74"/>
        <v>0.94693985961444938</v>
      </c>
      <c r="AT50" s="212">
        <f t="shared" si="48"/>
        <v>3.7708907037405357E-3</v>
      </c>
      <c r="AU50" s="212">
        <f t="shared" si="67"/>
        <v>1.1329758152454862E-3</v>
      </c>
      <c r="BR50" s="212" t="str">
        <f t="shared" si="49"/>
        <v/>
      </c>
      <c r="CD50" s="173">
        <f t="shared" si="63"/>
        <v>1994</v>
      </c>
      <c r="CE50" s="173">
        <f t="shared" si="50"/>
        <v>3359.4283234633931</v>
      </c>
      <c r="CF50" s="173">
        <f t="shared" si="51"/>
        <v>1753.5834381259208</v>
      </c>
      <c r="CG50" s="173">
        <f t="shared" si="52"/>
        <v>2211.6528775054935</v>
      </c>
      <c r="CH50" s="173">
        <f t="shared" si="53"/>
        <v>503.66020168989809</v>
      </c>
      <c r="CI50" s="173"/>
      <c r="CJ50" s="173">
        <f t="shared" si="54"/>
        <v>533.93956619553489</v>
      </c>
      <c r="CK50" s="173">
        <f t="shared" si="55"/>
        <v>41.171250286912404</v>
      </c>
      <c r="CL50" s="173">
        <v>0</v>
      </c>
      <c r="CM50" s="173">
        <f t="shared" si="65"/>
        <v>0.13576818693946657</v>
      </c>
      <c r="CN50" s="173">
        <f t="shared" si="62"/>
        <v>1.6117413776174061</v>
      </c>
      <c r="CO50" s="173"/>
      <c r="CP50" s="174"/>
      <c r="CQ50" s="174"/>
      <c r="CR50" s="174"/>
      <c r="CT50" s="190">
        <f t="shared" si="56"/>
        <v>4.8855791614405675</v>
      </c>
      <c r="CU50" s="190">
        <f t="shared" si="57"/>
        <v>27.667769719140029</v>
      </c>
      <c r="CV50" s="198">
        <f t="shared" si="59"/>
        <v>1424.6360939623721</v>
      </c>
      <c r="CW50" s="198">
        <f t="shared" si="60"/>
        <v>1424.6360939623721</v>
      </c>
      <c r="CX50" s="198">
        <v>1424.6360939623721</v>
      </c>
      <c r="CY50" s="198">
        <f t="shared" si="61"/>
        <v>0</v>
      </c>
      <c r="CZ50" s="199">
        <f>IF(CX50&lt;intermediates!$B$55,intermediates!$B$56+(CX50-intermediates!$B$55)*intermediates!$B$53,intermediates!$B$56+(data!CX50-intermediates!$B$55)*intermediates!$B$58)</f>
        <v>0.74380843331683244</v>
      </c>
      <c r="DA50" s="220">
        <v>1485405.5</v>
      </c>
      <c r="DB50" s="220">
        <v>3378810.22</v>
      </c>
      <c r="DC50" s="220">
        <v>4099202.58</v>
      </c>
      <c r="DD50" s="209">
        <f t="shared" si="33"/>
        <v>-6.7807281034391517E-4</v>
      </c>
      <c r="DE50" s="209">
        <f t="shared" si="34"/>
        <v>6.3798843757379613E-3</v>
      </c>
      <c r="DF50" s="209">
        <f t="shared" si="75"/>
        <v>-1.8170750684658647E-3</v>
      </c>
      <c r="DG50" s="201">
        <f t="shared" si="77"/>
        <v>14854055000000</v>
      </c>
      <c r="DH50" s="201">
        <f t="shared" si="77"/>
        <v>33788102200000.004</v>
      </c>
      <c r="DI50" s="201">
        <f t="shared" si="77"/>
        <v>40992025800000</v>
      </c>
      <c r="DJ50" s="220">
        <v>7942360283843850</v>
      </c>
      <c r="DK50" s="220">
        <v>1026131937661450</v>
      </c>
      <c r="DL50" s="220">
        <v>8968492221505310</v>
      </c>
      <c r="DM50" s="220">
        <v>2171146971533980</v>
      </c>
      <c r="DN50" s="220">
        <v>95291248877176.906</v>
      </c>
      <c r="DO50" s="220">
        <v>2266438220411160</v>
      </c>
      <c r="DP50" s="220">
        <v>4497746537567570</v>
      </c>
      <c r="DQ50" s="220">
        <v>849920301036611</v>
      </c>
      <c r="DR50" s="220">
        <v>5347666838604190</v>
      </c>
      <c r="DS50" s="220">
        <v>478230940591707</v>
      </c>
      <c r="DT50" s="220">
        <v>74040656197161</v>
      </c>
      <c r="DU50" s="220">
        <v>552271596788869</v>
      </c>
      <c r="DV50" s="220">
        <v>1360489636180730</v>
      </c>
      <c r="DW50" s="220">
        <v>2092665348422.8301</v>
      </c>
      <c r="DX50" s="220">
        <v>1362582301529150</v>
      </c>
      <c r="DY50" s="220">
        <v>284084051866759</v>
      </c>
      <c r="DZ50" s="220">
        <v>3867599851545.8701</v>
      </c>
      <c r="EA50" s="220">
        <v>287951651718305</v>
      </c>
      <c r="EB50" s="220">
        <v>360194023627660</v>
      </c>
      <c r="EC50" s="220">
        <v>10308341181576</v>
      </c>
      <c r="ED50" s="220">
        <v>370502364809236</v>
      </c>
      <c r="EE50" s="212">
        <f t="shared" si="78"/>
        <v>2587.1009802484314</v>
      </c>
      <c r="EG50" s="212">
        <f t="shared" si="10"/>
        <v>0.15893291910055699</v>
      </c>
      <c r="EI50" s="212">
        <f t="shared" si="35"/>
        <v>0.15893291910055699</v>
      </c>
      <c r="EJ50" s="212">
        <v>0.32150638032990975</v>
      </c>
      <c r="EK50" s="212">
        <v>0.14976958525345621</v>
      </c>
      <c r="EL50" s="212">
        <v>7.1989528795811525E-2</v>
      </c>
      <c r="EM50" s="212">
        <v>0.28049113233287859</v>
      </c>
      <c r="EN50" s="212">
        <f t="shared" si="79"/>
        <v>2175.9254694496312</v>
      </c>
      <c r="EP50" s="212">
        <f t="shared" si="80"/>
        <v>411.17551079879559</v>
      </c>
      <c r="ER50" s="215">
        <f t="shared" si="13"/>
        <v>534.69307093880093</v>
      </c>
      <c r="ES50" s="209">
        <f t="shared" si="42"/>
        <v>18.227586909248771</v>
      </c>
      <c r="EU50" s="215">
        <f t="shared" si="14"/>
        <v>534.69307093880093</v>
      </c>
      <c r="EV50" s="216">
        <f>data!EU50*conversions!$C$13</f>
        <v>0.62184804150182549</v>
      </c>
      <c r="EW50" s="217">
        <f t="shared" si="15"/>
        <v>3.2927639185466671E-2</v>
      </c>
      <c r="EX50" s="217"/>
      <c r="EZ50" s="217">
        <f t="shared" si="36"/>
        <v>3.2927639185466671E-2</v>
      </c>
      <c r="FA50" s="212">
        <f t="shared" si="16"/>
        <v>2.1158555657881717</v>
      </c>
      <c r="FD50" s="212">
        <f t="shared" si="37"/>
        <v>2.1158555657881717</v>
      </c>
      <c r="FE50" s="184">
        <f t="shared" si="17"/>
        <v>0.82827584820483757</v>
      </c>
      <c r="FG50" s="184">
        <f t="shared" si="38"/>
        <v>0.82827584820483757</v>
      </c>
      <c r="FH50" s="184">
        <f t="shared" si="18"/>
        <v>3.5768215204822131E-2</v>
      </c>
      <c r="FJ50" s="184">
        <f t="shared" si="39"/>
        <v>3.5768215204822131E-2</v>
      </c>
      <c r="FK50" s="184">
        <f t="shared" si="19"/>
        <v>4.5351005337841151E-2</v>
      </c>
      <c r="FM50" s="184">
        <f t="shared" si="40"/>
        <v>4.5351005337841151E-2</v>
      </c>
      <c r="FN50" s="218"/>
      <c r="FO50" s="218">
        <f t="shared" si="81"/>
        <v>849920301036611</v>
      </c>
      <c r="FP50" s="218">
        <f t="shared" si="21"/>
        <v>1026131937661450</v>
      </c>
      <c r="FQ50" s="218">
        <f t="shared" si="22"/>
        <v>33788102200000.004</v>
      </c>
      <c r="FR50" s="218">
        <f t="shared" si="23"/>
        <v>2171146971533980.3</v>
      </c>
      <c r="FS50" s="218">
        <f t="shared" si="24"/>
        <v>4060548171536.8667</v>
      </c>
      <c r="FT50" s="218">
        <f>intermediates!$B$69*data!EU50/intermediates!$B$71</f>
        <v>1.3609723385803898</v>
      </c>
      <c r="FU50" s="218">
        <f>(Y50+W50)*conversions!$C$1*1000000</f>
        <v>480331253347.31134</v>
      </c>
      <c r="FV50" s="218">
        <f t="shared" si="41"/>
        <v>352932414370.99139</v>
      </c>
      <c r="FW50" s="221">
        <f t="shared" si="25"/>
        <v>608628685290.26611</v>
      </c>
      <c r="FX50" s="221">
        <f t="shared" si="26"/>
        <v>255696270919.27472</v>
      </c>
      <c r="FY50" s="221">
        <f>FX50*intermediates!$B$72*1000*ER50/(intermediates!$B$71*10000*1000000000)</f>
        <v>27.839644143943222</v>
      </c>
      <c r="FZ50" s="221">
        <f t="shared" si="82"/>
        <v>4.915928774608779</v>
      </c>
      <c r="GA50" s="218"/>
      <c r="GB50" s="218"/>
      <c r="GC50" s="218">
        <f t="shared" si="83"/>
        <v>8411828733203.0264</v>
      </c>
      <c r="GD50" s="218">
        <f t="shared" si="29"/>
        <v>13081005590030.16</v>
      </c>
      <c r="GE50" s="218">
        <f t="shared" si="30"/>
        <v>14235802818462.922</v>
      </c>
      <c r="GF50" s="218">
        <f t="shared" si="31"/>
        <v>509189258824.19525</v>
      </c>
      <c r="GG50" s="218">
        <f t="shared" si="32"/>
        <v>645607969608.56604</v>
      </c>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188">
        <f t="shared" si="64"/>
        <v>1994</v>
      </c>
      <c r="HN50" s="185">
        <f t="shared" si="68"/>
        <v>2622.9313857809466</v>
      </c>
      <c r="HO50" s="185">
        <f t="shared" si="69"/>
        <v>5966.3084407829547</v>
      </c>
      <c r="HP50" s="185">
        <f t="shared" si="70"/>
        <v>7238.3784116567704</v>
      </c>
      <c r="IC50" s="185">
        <f t="shared" si="71"/>
        <v>8589.2398265639004</v>
      </c>
    </row>
    <row r="51" spans="1:237" x14ac:dyDescent="0.3">
      <c r="A51" s="184">
        <v>1995</v>
      </c>
      <c r="B51" s="207">
        <v>5744212.9299999997</v>
      </c>
      <c r="C51" s="207">
        <v>1151112.7009999999</v>
      </c>
      <c r="D51" s="207">
        <f t="shared" si="1"/>
        <v>4593100.2290000003</v>
      </c>
      <c r="H51" s="207">
        <f t="shared" si="5"/>
        <v>5744212930</v>
      </c>
      <c r="L51" s="187">
        <f t="shared" si="6"/>
        <v>5744212930</v>
      </c>
      <c r="M51" s="184">
        <v>8565.8280700510295</v>
      </c>
      <c r="N51" s="184">
        <v>4991.4672710156292</v>
      </c>
      <c r="O51" s="184">
        <v>3574.360799035398</v>
      </c>
      <c r="P51" s="184">
        <v>3403.8366230871752</v>
      </c>
      <c r="Q51" s="184">
        <v>1815.0813185952575</v>
      </c>
      <c r="R51" s="184">
        <v>2223.223030696839</v>
      </c>
      <c r="S51" s="184">
        <v>525.50473541292524</v>
      </c>
      <c r="T51" s="184">
        <v>563.19523473699644</v>
      </c>
      <c r="U51" s="184">
        <v>0.14500017637882998</v>
      </c>
      <c r="V51" s="184">
        <v>1.8694672226176177</v>
      </c>
      <c r="W51" s="184">
        <v>32.972660122840324</v>
      </c>
      <c r="X51" s="184">
        <v>9863.8728119704501</v>
      </c>
      <c r="Y51" s="184">
        <f t="shared" si="66"/>
        <v>9.8638728119704506</v>
      </c>
      <c r="Z51" s="184">
        <v>6.378701601849551</v>
      </c>
      <c r="AA51" s="184">
        <v>1.2920542120261045</v>
      </c>
      <c r="AB51" s="184">
        <f>Z51*conversions!$C$6/conversions!$C$8</f>
        <v>23.373047157734248</v>
      </c>
      <c r="AC51" s="184">
        <f>AA51*conversions!$C$6/conversions!$C$8</f>
        <v>4.7343873272389496</v>
      </c>
      <c r="AD51" s="184">
        <f t="shared" si="7"/>
        <v>28.107434484973197</v>
      </c>
      <c r="AE51" s="212">
        <f t="shared" si="43"/>
        <v>7967.6457077921968</v>
      </c>
      <c r="AF51" s="212">
        <f t="shared" si="44"/>
        <v>3.527696325337947</v>
      </c>
      <c r="AG51" s="184">
        <f>M51*conversions!$C$1*1000000/data!L51</f>
        <v>17397.450622928427</v>
      </c>
      <c r="AH51" s="184">
        <f>N51*conversions!$C$1*1000/C51</f>
        <v>50589.125441780416</v>
      </c>
      <c r="AI51" s="184">
        <f>O51*conversions!$C$1*1000/D51</f>
        <v>9079.0259105287005</v>
      </c>
      <c r="AK51" s="192">
        <f t="shared" si="45"/>
        <v>17397.450622928427</v>
      </c>
      <c r="AL51" s="192">
        <f t="shared" si="46"/>
        <v>99934660817262.031</v>
      </c>
      <c r="AM51" s="192">
        <f>data!AL51/(1000000*conversions!$C$1)</f>
        <v>8565.8280700510313</v>
      </c>
      <c r="AN51" s="192">
        <f t="shared" si="47"/>
        <v>8565.8280700510313</v>
      </c>
      <c r="AO51" s="212">
        <f t="shared" si="72"/>
        <v>1.1527647343705778</v>
      </c>
      <c r="AP51" s="212">
        <f t="shared" si="76"/>
        <v>1.1984213038822058</v>
      </c>
      <c r="AQ51" s="212">
        <f t="shared" si="73"/>
        <v>3.1165443930978231E-5</v>
      </c>
      <c r="AR51" s="212">
        <f t="shared" si="58"/>
        <v>29.255668541461546</v>
      </c>
      <c r="AS51" s="212">
        <f t="shared" si="74"/>
        <v>0.35178053174753998</v>
      </c>
      <c r="AT51" s="212">
        <f t="shared" si="48"/>
        <v>3.8493254654647637E-3</v>
      </c>
      <c r="AU51" s="212">
        <f t="shared" si="67"/>
        <v>1.1515375666315104E-3</v>
      </c>
      <c r="BR51" s="212" t="str">
        <f t="shared" si="49"/>
        <v/>
      </c>
      <c r="CD51" s="173">
        <f t="shared" si="63"/>
        <v>1995</v>
      </c>
      <c r="CE51" s="173">
        <f t="shared" si="50"/>
        <v>3403.8366230871752</v>
      </c>
      <c r="CF51" s="173">
        <f t="shared" si="51"/>
        <v>1815.0813185952575</v>
      </c>
      <c r="CG51" s="173">
        <f t="shared" si="52"/>
        <v>2223.223030696839</v>
      </c>
      <c r="CH51" s="173">
        <f t="shared" si="53"/>
        <v>525.50473541292524</v>
      </c>
      <c r="CI51" s="173"/>
      <c r="CJ51" s="173">
        <f t="shared" si="54"/>
        <v>563.19523473699644</v>
      </c>
      <c r="CK51" s="173">
        <f t="shared" si="55"/>
        <v>42.836532934810776</v>
      </c>
      <c r="CL51" s="173">
        <v>0</v>
      </c>
      <c r="CM51" s="173">
        <f t="shared" si="65"/>
        <v>0.14500017637882998</v>
      </c>
      <c r="CN51" s="173">
        <f t="shared" si="62"/>
        <v>1.8694672226176177</v>
      </c>
      <c r="CO51" s="173"/>
      <c r="CP51" s="174"/>
      <c r="CQ51" s="174"/>
      <c r="CR51" s="174"/>
      <c r="CT51" s="190">
        <f t="shared" si="56"/>
        <v>4.8931741959247317</v>
      </c>
      <c r="CU51" s="190">
        <f t="shared" si="57"/>
        <v>28.107434484973197</v>
      </c>
      <c r="CV51" s="198">
        <f t="shared" si="59"/>
        <v>1452.7435284473454</v>
      </c>
      <c r="CW51" s="198">
        <f t="shared" si="60"/>
        <v>1452.7435284473454</v>
      </c>
      <c r="CX51" s="198">
        <v>1452.7435284473454</v>
      </c>
      <c r="CY51" s="198">
        <f t="shared" si="61"/>
        <v>0</v>
      </c>
      <c r="CZ51" s="199">
        <f>IF(CX51&lt;intermediates!$B$55,intermediates!$B$56+(CX51-intermediates!$B$55)*intermediates!$B$53,intermediates!$B$56+(data!CX51-intermediates!$B$55)*intermediates!$B$58)</f>
        <v>0.75909324769306652</v>
      </c>
      <c r="DA51" s="220">
        <v>1485602</v>
      </c>
      <c r="DB51" s="220">
        <v>3376978.92</v>
      </c>
      <c r="DC51" s="220">
        <v>4091935.8539999998</v>
      </c>
      <c r="DD51" s="209">
        <f t="shared" si="33"/>
        <v>1.2585369531745085E-4</v>
      </c>
      <c r="DE51" s="209">
        <f t="shared" si="34"/>
        <v>-5.6064388884951113E-4</v>
      </c>
      <c r="DF51" s="209">
        <f t="shared" si="75"/>
        <v>-1.8170750684659812E-3</v>
      </c>
      <c r="DG51" s="201">
        <f t="shared" si="77"/>
        <v>14856020000000</v>
      </c>
      <c r="DH51" s="201">
        <f t="shared" si="77"/>
        <v>33769789200000</v>
      </c>
      <c r="DI51" s="201">
        <f t="shared" si="77"/>
        <v>40919358540000</v>
      </c>
      <c r="DJ51" s="220">
        <v>7846017392725110</v>
      </c>
      <c r="DK51" s="220">
        <v>1044208196553280</v>
      </c>
      <c r="DL51" s="220">
        <v>8890225589278390</v>
      </c>
      <c r="DM51" s="220">
        <v>2117024134637110</v>
      </c>
      <c r="DN51" s="220">
        <v>90535924541244.906</v>
      </c>
      <c r="DO51" s="220">
        <v>2207560059178360</v>
      </c>
      <c r="DP51" s="220">
        <v>4602561390271560</v>
      </c>
      <c r="DQ51" s="220">
        <v>873446368985909</v>
      </c>
      <c r="DR51" s="220">
        <v>5476007759257470</v>
      </c>
      <c r="DS51" s="220">
        <v>540221266321348</v>
      </c>
      <c r="DT51" s="220">
        <v>73785740948335.906</v>
      </c>
      <c r="DU51" s="220">
        <v>614007007269684</v>
      </c>
      <c r="DV51" s="220">
        <v>1454626774631140</v>
      </c>
      <c r="DW51" s="220">
        <v>1774070071366.3701</v>
      </c>
      <c r="DX51" s="220">
        <v>1456400844702510</v>
      </c>
      <c r="DY51" s="220">
        <v>288891039493190</v>
      </c>
      <c r="DZ51" s="220">
        <v>4130892244477</v>
      </c>
      <c r="EA51" s="220">
        <v>293021931737667</v>
      </c>
      <c r="EB51" s="220">
        <v>372402451892338</v>
      </c>
      <c r="EC51" s="220">
        <v>12279037146555</v>
      </c>
      <c r="ED51" s="220">
        <v>384681489038893</v>
      </c>
      <c r="EE51" s="212">
        <f t="shared" si="78"/>
        <v>2611.8044660066321</v>
      </c>
      <c r="EG51" s="212">
        <f t="shared" si="10"/>
        <v>0.15950422413286458</v>
      </c>
      <c r="EI51" s="212">
        <f t="shared" si="35"/>
        <v>0.15950422413286458</v>
      </c>
      <c r="EJ51" s="212">
        <v>0.31640504770698674</v>
      </c>
      <c r="EK51" s="212">
        <v>0.15458937198067632</v>
      </c>
      <c r="EL51" s="212">
        <v>7.4440619621342519E-2</v>
      </c>
      <c r="EM51" s="212">
        <v>0.27849162011173184</v>
      </c>
      <c r="EN51" s="212">
        <f t="shared" si="79"/>
        <v>2195.2106210694928</v>
      </c>
      <c r="EP51" s="212">
        <f t="shared" si="80"/>
        <v>416.5938449371385</v>
      </c>
      <c r="ER51" s="215">
        <f t="shared" si="13"/>
        <v>528.13723949786754</v>
      </c>
      <c r="ES51" s="209">
        <f t="shared" si="42"/>
        <v>-6.5558314409333889</v>
      </c>
      <c r="EU51" s="215">
        <f t="shared" si="14"/>
        <v>528.13723949786754</v>
      </c>
      <c r="EV51" s="216">
        <f>data!EU51*conversions!$C$13</f>
        <v>0.61422360953601995</v>
      </c>
      <c r="EW51" s="217">
        <f t="shared" si="15"/>
        <v>3.2340092053928751E-2</v>
      </c>
      <c r="EX51" s="217"/>
      <c r="EZ51" s="217">
        <f t="shared" si="36"/>
        <v>3.2340092053928751E-2</v>
      </c>
      <c r="FA51" s="212">
        <f t="shared" si="16"/>
        <v>2.0273965877925288</v>
      </c>
      <c r="FD51" s="212">
        <f t="shared" si="37"/>
        <v>2.0273965877925288</v>
      </c>
      <c r="FE51" s="184">
        <f t="shared" si="17"/>
        <v>0.83646764301312593</v>
      </c>
      <c r="FG51" s="184">
        <f t="shared" si="38"/>
        <v>0.83646764301312593</v>
      </c>
      <c r="FH51" s="184">
        <f t="shared" si="18"/>
        <v>3.6820086552580435E-2</v>
      </c>
      <c r="FJ51" s="184">
        <f t="shared" si="39"/>
        <v>3.6820086552580435E-2</v>
      </c>
      <c r="FK51" s="184">
        <f t="shared" si="19"/>
        <v>4.7463883044362422E-2</v>
      </c>
      <c r="FM51" s="184">
        <f t="shared" si="40"/>
        <v>4.7463883044362422E-2</v>
      </c>
      <c r="FN51" s="218"/>
      <c r="FO51" s="218">
        <f t="shared" si="81"/>
        <v>873446368985909</v>
      </c>
      <c r="FP51" s="218">
        <f t="shared" si="21"/>
        <v>1044208196553280</v>
      </c>
      <c r="FQ51" s="218">
        <f t="shared" si="22"/>
        <v>33769789200000.004</v>
      </c>
      <c r="FR51" s="218">
        <f t="shared" si="23"/>
        <v>2117024134637110.3</v>
      </c>
      <c r="FS51" s="218">
        <f t="shared" si="24"/>
        <v>4008473510881.1772</v>
      </c>
      <c r="FT51" s="218">
        <f>intermediates!$B$69*data!EU51/intermediates!$B$71</f>
        <v>1.3442855593187091</v>
      </c>
      <c r="FU51" s="218">
        <f>(Y51+W51)*conversions!$C$1*1000000</f>
        <v>499759550906.12567</v>
      </c>
      <c r="FV51" s="218">
        <f t="shared" si="41"/>
        <v>371765914943.99927</v>
      </c>
      <c r="FW51" s="221">
        <f t="shared" si="25"/>
        <v>687521720531.49341</v>
      </c>
      <c r="FX51" s="221">
        <f t="shared" si="26"/>
        <v>315755805587.49414</v>
      </c>
      <c r="FY51" s="221">
        <f>FX51*intermediates!$B$72*1000*ER51/(intermediates!$B$71*10000*1000000000)</f>
        <v>33.957277577785135</v>
      </c>
      <c r="FZ51" s="221">
        <f t="shared" si="82"/>
        <v>5.9115631665459754</v>
      </c>
      <c r="GA51" s="218"/>
      <c r="GB51" s="218"/>
      <c r="GC51" s="218">
        <f t="shared" si="83"/>
        <v>8714707174687.2012</v>
      </c>
      <c r="GD51" s="218">
        <f t="shared" si="29"/>
        <v>13410702406099.873</v>
      </c>
      <c r="GE51" s="218">
        <f t="shared" si="30"/>
        <v>14645044927516.539</v>
      </c>
      <c r="GF51" s="218">
        <f t="shared" si="31"/>
        <v>539231821797.58801</v>
      </c>
      <c r="GG51" s="218">
        <f t="shared" si="32"/>
        <v>695110699619.07813</v>
      </c>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188">
        <f t="shared" si="64"/>
        <v>1995</v>
      </c>
      <c r="HN51" s="185">
        <f t="shared" si="68"/>
        <v>2586.2585842548147</v>
      </c>
      <c r="HO51" s="185">
        <f t="shared" si="69"/>
        <v>5878.9236421986188</v>
      </c>
      <c r="HP51" s="185">
        <f t="shared" si="70"/>
        <v>7123.5796859640441</v>
      </c>
      <c r="IC51" s="185">
        <f t="shared" si="71"/>
        <v>8465.182226453433</v>
      </c>
    </row>
    <row r="52" spans="1:237" x14ac:dyDescent="0.3">
      <c r="A52" s="211">
        <v>1996</v>
      </c>
      <c r="B52" s="207">
        <v>5824891.9310000101</v>
      </c>
      <c r="C52" s="207">
        <v>1159984.0530000001</v>
      </c>
      <c r="D52" s="207">
        <f t="shared" si="1"/>
        <v>4664907.8780000098</v>
      </c>
      <c r="H52" s="207">
        <f t="shared" si="5"/>
        <v>5824891931.0000105</v>
      </c>
      <c r="L52" s="187">
        <f t="shared" si="6"/>
        <v>5824891931.0000105</v>
      </c>
      <c r="M52" s="184">
        <v>8821.3429286302726</v>
      </c>
      <c r="N52" s="184">
        <v>5159.3856809864728</v>
      </c>
      <c r="O52" s="184">
        <v>3661.9572476438002</v>
      </c>
      <c r="P52" s="184">
        <v>3484.1545366030391</v>
      </c>
      <c r="Q52" s="184">
        <v>1905.7929582198713</v>
      </c>
      <c r="R52" s="184">
        <v>2279.5711402316674</v>
      </c>
      <c r="S52" s="184">
        <v>544.60415571569763</v>
      </c>
      <c r="T52" s="184">
        <v>571.07886595745811</v>
      </c>
      <c r="U52" s="184">
        <v>0.15957097605983087</v>
      </c>
      <c r="V52" s="184">
        <v>2.082771566410802</v>
      </c>
      <c r="W52" s="184">
        <v>33.898929360070149</v>
      </c>
      <c r="X52" s="184">
        <v>9922.0456641214114</v>
      </c>
      <c r="Y52" s="184">
        <f t="shared" si="66"/>
        <v>9.922045664121411</v>
      </c>
      <c r="Z52" s="184">
        <v>6.577389844519236</v>
      </c>
      <c r="AA52" s="184">
        <v>1.265957577562467</v>
      </c>
      <c r="AB52" s="184">
        <f>Z52*conversions!$C$6/conversions!$C$8</f>
        <v>24.10108711876007</v>
      </c>
      <c r="AC52" s="184">
        <f>AA52*conversions!$C$6/conversions!$C$8</f>
        <v>4.6387631852035405</v>
      </c>
      <c r="AD52" s="184">
        <f t="shared" si="7"/>
        <v>28.73985030396361</v>
      </c>
      <c r="AE52" s="212">
        <f t="shared" si="43"/>
        <v>8214.122790770276</v>
      </c>
      <c r="AF52" s="212">
        <f t="shared" si="44"/>
        <v>3.4988337812842145</v>
      </c>
      <c r="AG52" s="184">
        <f>M52*conversions!$C$1*1000000/data!L52</f>
        <v>17668.253543549963</v>
      </c>
      <c r="AH52" s="184">
        <f>N52*conversions!$C$1*1000/C52</f>
        <v>51891.086596551839</v>
      </c>
      <c r="AI52" s="184">
        <f>O52*conversions!$C$1*1000/D52</f>
        <v>9158.3447461691212</v>
      </c>
      <c r="AK52" s="192">
        <f t="shared" si="45"/>
        <v>17668.253543549963</v>
      </c>
      <c r="AL52" s="192">
        <f t="shared" si="46"/>
        <v>102915667500686.52</v>
      </c>
      <c r="AM52" s="192">
        <f>data!AL52/(1000000*conversions!$C$1)</f>
        <v>8821.3429286302726</v>
      </c>
      <c r="AN52" s="192">
        <f t="shared" si="47"/>
        <v>8821.3429286302726</v>
      </c>
      <c r="AO52" s="212">
        <f t="shared" si="72"/>
        <v>1.1131193007083193</v>
      </c>
      <c r="AP52" s="212">
        <f t="shared" si="76"/>
        <v>1.2202466539902646</v>
      </c>
      <c r="AQ52" s="212">
        <f t="shared" si="73"/>
        <v>2.5832250862235572E-5</v>
      </c>
      <c r="AR52" s="212">
        <f t="shared" si="58"/>
        <v>7.8836312204616661</v>
      </c>
      <c r="AS52" s="212">
        <f t="shared" si="74"/>
        <v>5.8172852150960352E-2</v>
      </c>
      <c r="AT52" s="212">
        <f t="shared" si="48"/>
        <v>3.8428309197740007E-3</v>
      </c>
      <c r="AU52" s="212">
        <f t="shared" si="67"/>
        <v>1.1247772299973434E-3</v>
      </c>
      <c r="BR52" s="212" t="str">
        <f t="shared" si="49"/>
        <v/>
      </c>
      <c r="CD52" s="173">
        <f t="shared" si="63"/>
        <v>1996</v>
      </c>
      <c r="CE52" s="173">
        <f t="shared" si="50"/>
        <v>3484.1545366030391</v>
      </c>
      <c r="CF52" s="173">
        <f t="shared" si="51"/>
        <v>1905.7929582198713</v>
      </c>
      <c r="CG52" s="173">
        <f t="shared" si="52"/>
        <v>2279.5711402316674</v>
      </c>
      <c r="CH52" s="173">
        <f t="shared" si="53"/>
        <v>544.60415571569763</v>
      </c>
      <c r="CI52" s="173"/>
      <c r="CJ52" s="173">
        <f t="shared" si="54"/>
        <v>571.07886595745811</v>
      </c>
      <c r="CK52" s="173">
        <f t="shared" si="55"/>
        <v>43.820975024191561</v>
      </c>
      <c r="CL52" s="173">
        <v>0</v>
      </c>
      <c r="CM52" s="173">
        <f t="shared" si="65"/>
        <v>0.15957097605983087</v>
      </c>
      <c r="CN52" s="173">
        <f t="shared" si="62"/>
        <v>2.082771566410802</v>
      </c>
      <c r="CO52" s="173"/>
      <c r="CP52" s="174"/>
      <c r="CQ52" s="174"/>
      <c r="CR52" s="174"/>
      <c r="CT52" s="190">
        <f t="shared" si="56"/>
        <v>4.9339714185958448</v>
      </c>
      <c r="CU52" s="190">
        <f t="shared" si="57"/>
        <v>28.73985030396361</v>
      </c>
      <c r="CV52" s="198">
        <f t="shared" si="59"/>
        <v>1481.4833787513091</v>
      </c>
      <c r="CW52" s="198">
        <f t="shared" si="60"/>
        <v>1481.4833787513091</v>
      </c>
      <c r="CX52" s="198">
        <v>1481.4833787513091</v>
      </c>
      <c r="CY52" s="198">
        <f t="shared" si="61"/>
        <v>0</v>
      </c>
      <c r="CZ52" s="199">
        <f>IF(CX52&lt;intermediates!$B$55,intermediates!$B$56+(CX52-intermediates!$B$55)*intermediates!$B$53,intermediates!$B$56+(data!CX52-intermediates!$B$55)*intermediates!$B$58)</f>
        <v>0.77472196960049244</v>
      </c>
      <c r="DA52" s="220">
        <v>1485988.36</v>
      </c>
      <c r="DB52" s="220">
        <v>3386930.92</v>
      </c>
      <c r="DC52" s="220">
        <v>4084669.128</v>
      </c>
      <c r="DD52" s="209">
        <f t="shared" si="33"/>
        <v>2.4745462454383308E-4</v>
      </c>
      <c r="DE52" s="209">
        <f t="shared" si="34"/>
        <v>3.0467580308138936E-3</v>
      </c>
      <c r="DF52" s="209">
        <f t="shared" si="75"/>
        <v>-1.8170750684658647E-3</v>
      </c>
      <c r="DG52" s="201">
        <f t="shared" si="77"/>
        <v>14859883600000.002</v>
      </c>
      <c r="DH52" s="201">
        <f t="shared" si="77"/>
        <v>33869309200000</v>
      </c>
      <c r="DI52" s="201">
        <f t="shared" si="77"/>
        <v>40846691280000</v>
      </c>
      <c r="DJ52" s="220">
        <v>8405623994313550</v>
      </c>
      <c r="DK52" s="220">
        <v>1059161156762970</v>
      </c>
      <c r="DL52" s="220">
        <v>9464785151076530</v>
      </c>
      <c r="DM52" s="220">
        <v>2222784147628380</v>
      </c>
      <c r="DN52" s="220">
        <v>85556662412373.797</v>
      </c>
      <c r="DO52" s="220">
        <v>2308340810040750</v>
      </c>
      <c r="DP52" s="220">
        <v>4680977249446320</v>
      </c>
      <c r="DQ52" s="220">
        <v>883659189312631</v>
      </c>
      <c r="DR52" s="220">
        <v>5564636438758950</v>
      </c>
      <c r="DS52" s="220">
        <v>629496270114833</v>
      </c>
      <c r="DT52" s="220">
        <v>78319297337285.406</v>
      </c>
      <c r="DU52" s="220">
        <v>707815567452118</v>
      </c>
      <c r="DV52" s="220">
        <v>1505287981600000</v>
      </c>
      <c r="DW52" s="220">
        <v>2617135651907.79</v>
      </c>
      <c r="DX52" s="220">
        <v>1507905117251910</v>
      </c>
      <c r="DY52" s="220">
        <v>293097611186439</v>
      </c>
      <c r="DZ52" s="220">
        <v>4272196214600.29</v>
      </c>
      <c r="EA52" s="220">
        <v>297369807401040</v>
      </c>
      <c r="EB52" s="220">
        <v>371178100047013</v>
      </c>
      <c r="EC52" s="220">
        <v>13022258123900.1</v>
      </c>
      <c r="ED52" s="220">
        <v>384200358170913</v>
      </c>
      <c r="EE52" s="212">
        <f t="shared" si="78"/>
        <v>2617.3153879704259</v>
      </c>
      <c r="EG52" s="212">
        <f t="shared" si="10"/>
        <v>0.15879908760215583</v>
      </c>
      <c r="EI52" s="212">
        <f t="shared" si="35"/>
        <v>0.15879908760215583</v>
      </c>
      <c r="EJ52" s="212">
        <v>0.31725811343645738</v>
      </c>
      <c r="EK52" s="212">
        <v>0.15881261595547311</v>
      </c>
      <c r="EL52" s="212">
        <v>7.5085324232081918E-2</v>
      </c>
      <c r="EM52" s="212">
        <v>0.27320880959018679</v>
      </c>
      <c r="EN52" s="212">
        <f t="shared" si="79"/>
        <v>2201.6880923936401</v>
      </c>
      <c r="EP52" s="212">
        <f t="shared" si="80"/>
        <v>415.62729557678614</v>
      </c>
      <c r="ER52" s="215">
        <f t="shared" si="13"/>
        <v>565.65880464323072</v>
      </c>
      <c r="ES52" s="209">
        <f t="shared" si="42"/>
        <v>37.521565145363184</v>
      </c>
      <c r="EU52" s="215">
        <f t="shared" si="14"/>
        <v>565.65880464323072</v>
      </c>
      <c r="EV52" s="216">
        <f>data!EU52*conversions!$C$13</f>
        <v>0.65786118980007735</v>
      </c>
      <c r="EW52" s="217">
        <f t="shared" si="15"/>
        <v>3.1977484241880696E-2</v>
      </c>
      <c r="EX52" s="217"/>
      <c r="EZ52" s="217">
        <f t="shared" si="36"/>
        <v>3.1977484241880696E-2</v>
      </c>
      <c r="FA52" s="212">
        <f t="shared" si="16"/>
        <v>2.0986269496718499</v>
      </c>
      <c r="FD52" s="212">
        <f t="shared" si="37"/>
        <v>2.0986269496718499</v>
      </c>
      <c r="FE52" s="184">
        <f t="shared" si="17"/>
        <v>0.83430097834524852</v>
      </c>
      <c r="FG52" s="184">
        <f t="shared" si="38"/>
        <v>0.83430097834524852</v>
      </c>
      <c r="FH52" s="184">
        <f t="shared" si="18"/>
        <v>3.4869227006195033E-2</v>
      </c>
      <c r="FJ52" s="184">
        <f t="shared" si="39"/>
        <v>3.4869227006195033E-2</v>
      </c>
      <c r="FK52" s="184">
        <f t="shared" si="19"/>
        <v>4.4158304047161402E-2</v>
      </c>
      <c r="FM52" s="184">
        <f t="shared" si="40"/>
        <v>4.4158304047161402E-2</v>
      </c>
      <c r="FN52" s="218"/>
      <c r="FO52" s="218">
        <f t="shared" si="81"/>
        <v>883659189312631</v>
      </c>
      <c r="FP52" s="218">
        <f t="shared" si="21"/>
        <v>1059161156762970</v>
      </c>
      <c r="FQ52" s="218">
        <f t="shared" si="22"/>
        <v>33869309200000.004</v>
      </c>
      <c r="FR52" s="218">
        <f t="shared" si="23"/>
        <v>2222784147628379.8</v>
      </c>
      <c r="FS52" s="218">
        <f t="shared" si="24"/>
        <v>3929549278438.8325</v>
      </c>
      <c r="FT52" s="218">
        <f>intermediates!$B$69*data!EU52/intermediates!$B$71</f>
        <v>1.4397904667853818</v>
      </c>
      <c r="FU52" s="218">
        <f>(Y52+W52)*conversions!$C$1*1000000</f>
        <v>511244708615.56818</v>
      </c>
      <c r="FV52" s="218">
        <f t="shared" si="41"/>
        <v>355082715443.32666</v>
      </c>
      <c r="FW52" s="221">
        <f t="shared" si="25"/>
        <v>801139062230.22192</v>
      </c>
      <c r="FX52" s="221">
        <f t="shared" si="26"/>
        <v>446056346786.89526</v>
      </c>
      <c r="FY52" s="221">
        <f>FX52*intermediates!$B$72*1000*ER52/(intermediates!$B$71*10000*1000000000)</f>
        <v>51.378214060230896</v>
      </c>
      <c r="FZ52" s="221">
        <f t="shared" si="82"/>
        <v>8.8204579018533558</v>
      </c>
      <c r="GA52" s="218"/>
      <c r="GB52" s="218"/>
      <c r="GC52" s="218">
        <f t="shared" si="83"/>
        <v>8275266310755.4395</v>
      </c>
      <c r="GD52" s="218">
        <f t="shared" si="29"/>
        <v>13005954651424.494</v>
      </c>
      <c r="GE52" s="218">
        <f t="shared" si="30"/>
        <v>14121979852774.506</v>
      </c>
      <c r="GF52" s="218">
        <f t="shared" si="31"/>
        <v>492422521263.30695</v>
      </c>
      <c r="GG52" s="218">
        <f t="shared" si="32"/>
        <v>623602680086.70422</v>
      </c>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188">
        <f t="shared" si="64"/>
        <v>1996</v>
      </c>
      <c r="HN52" s="185">
        <f t="shared" si="68"/>
        <v>2551.1003081303302</v>
      </c>
      <c r="HO52" s="185">
        <f t="shared" si="69"/>
        <v>5814.5815581140505</v>
      </c>
      <c r="HP52" s="185">
        <f t="shared" si="70"/>
        <v>7012.437614956315</v>
      </c>
      <c r="IC52" s="185">
        <f t="shared" si="71"/>
        <v>8365.6818662443802</v>
      </c>
    </row>
    <row r="53" spans="1:237" x14ac:dyDescent="0.3">
      <c r="A53" s="184">
        <v>1997</v>
      </c>
      <c r="B53" s="207">
        <v>5905045.6469999999</v>
      </c>
      <c r="C53" s="207">
        <v>1168747.7150000001</v>
      </c>
      <c r="D53" s="207">
        <f t="shared" si="1"/>
        <v>4736297.932</v>
      </c>
      <c r="H53" s="207">
        <f t="shared" si="5"/>
        <v>5905045647</v>
      </c>
      <c r="L53" s="187">
        <f t="shared" si="6"/>
        <v>5905045647</v>
      </c>
      <c r="M53" s="184">
        <v>8912.3009106702211</v>
      </c>
      <c r="N53" s="184">
        <v>5211.6231342985375</v>
      </c>
      <c r="O53" s="184">
        <v>3700.6777763716859</v>
      </c>
      <c r="P53" s="184">
        <v>3574.5424601876543</v>
      </c>
      <c r="Q53" s="184">
        <v>1894.6899897536341</v>
      </c>
      <c r="R53" s="184">
        <v>2281.4262168339637</v>
      </c>
      <c r="S53" s="184">
        <v>540.86453278757176</v>
      </c>
      <c r="T53" s="184">
        <v>581.44179977974193</v>
      </c>
      <c r="U53" s="184">
        <v>0.17119626916090599</v>
      </c>
      <c r="V53" s="184">
        <v>2.7193321423219672</v>
      </c>
      <c r="W53" s="184">
        <v>36.445382916176236</v>
      </c>
      <c r="X53" s="184">
        <v>11377.291913060353</v>
      </c>
      <c r="Y53" s="184">
        <f t="shared" si="66"/>
        <v>11.377291913060354</v>
      </c>
      <c r="Z53" s="184">
        <v>6.614872562488479</v>
      </c>
      <c r="AA53" s="184">
        <v>1.7384025883469483</v>
      </c>
      <c r="AB53" s="184">
        <f>Z53*conversions!$C$6/conversions!$C$8</f>
        <v>24.23843252059563</v>
      </c>
      <c r="AC53" s="184">
        <f>AA53*conversions!$C$6/conversions!$C$8</f>
        <v>6.3699116548701733</v>
      </c>
      <c r="AD53" s="184">
        <f t="shared" si="7"/>
        <v>30.608344175465803</v>
      </c>
      <c r="AE53" s="212">
        <f t="shared" si="43"/>
        <v>8291.5231995628237</v>
      </c>
      <c r="AF53" s="212">
        <f t="shared" si="44"/>
        <v>3.6915224668345195</v>
      </c>
      <c r="AG53" s="184">
        <f>M53*conversions!$C$1*1000000/data!L53</f>
        <v>17608.135512151992</v>
      </c>
      <c r="AH53" s="184">
        <f>N53*conversions!$C$1*1000/C53</f>
        <v>52023.434244874305</v>
      </c>
      <c r="AI53" s="184">
        <f>O53*conversions!$C$1*1000/D53</f>
        <v>9115.6795196450639</v>
      </c>
      <c r="AK53" s="192">
        <f t="shared" ref="AK53:AK74" si="84">AG53</f>
        <v>17608.135512151992</v>
      </c>
      <c r="AL53" s="192">
        <f t="shared" ref="AL53:AL84" si="85">AK53*L53</f>
        <v>103976843957819.23</v>
      </c>
      <c r="AM53" s="192">
        <f>data!AL53/(1000000*conversions!$C$1)</f>
        <v>8912.3009106702211</v>
      </c>
      <c r="AN53" s="192">
        <f t="shared" si="47"/>
        <v>8912.3009106702211</v>
      </c>
      <c r="AO53" s="212">
        <f t="shared" si="72"/>
        <v>1.2890663922819141</v>
      </c>
      <c r="AP53" s="212">
        <f t="shared" si="76"/>
        <v>1.2375000516543058</v>
      </c>
      <c r="AQ53" s="212">
        <f t="shared" si="73"/>
        <v>7.2729351882206127E-5</v>
      </c>
      <c r="AR53" s="212">
        <f t="shared" si="58"/>
        <v>10.362933822283821</v>
      </c>
      <c r="AS53" s="212">
        <f t="shared" si="74"/>
        <v>1.4552462489389431</v>
      </c>
      <c r="AT53" s="212">
        <f t="shared" ref="AT53:AT74" si="86">W53/AM53</f>
        <v>4.089334873393035E-3</v>
      </c>
      <c r="AU53" s="212">
        <f t="shared" si="67"/>
        <v>1.2765830089330726E-3</v>
      </c>
      <c r="BR53" s="212" t="str">
        <f t="shared" ref="BR53:BR84" si="87">IF(AND(BQ53&gt;0,BQ54=0),A54,"")</f>
        <v/>
      </c>
      <c r="CD53" s="173">
        <f t="shared" si="63"/>
        <v>1997</v>
      </c>
      <c r="CE53" s="173">
        <f t="shared" ref="CE53:CE74" si="88">P53</f>
        <v>3574.5424601876543</v>
      </c>
      <c r="CF53" s="173">
        <f t="shared" ref="CF53:CF74" si="89">Q53</f>
        <v>1894.6899897536341</v>
      </c>
      <c r="CG53" s="173">
        <f t="shared" ref="CG53:CG74" si="90">R53</f>
        <v>2281.4262168339637</v>
      </c>
      <c r="CH53" s="173">
        <f t="shared" ref="CH53:CH74" si="91">S53</f>
        <v>540.86453278757176</v>
      </c>
      <c r="CI53" s="173"/>
      <c r="CJ53" s="173">
        <f t="shared" ref="CJ53:CJ74" si="92">T53</f>
        <v>581.44179977974193</v>
      </c>
      <c r="CK53" s="173">
        <f t="shared" ref="CK53:CK74" si="93">Y53+W53</f>
        <v>47.82267482923659</v>
      </c>
      <c r="CL53" s="173">
        <v>0</v>
      </c>
      <c r="CM53" s="173">
        <f t="shared" si="65"/>
        <v>0.17119626916090599</v>
      </c>
      <c r="CN53" s="173">
        <f t="shared" si="62"/>
        <v>2.7193321423219672</v>
      </c>
      <c r="CO53" s="173"/>
      <c r="CP53" s="174"/>
      <c r="CQ53" s="174"/>
      <c r="CR53" s="174"/>
      <c r="CT53" s="190">
        <f t="shared" ref="CT53:CT74" si="94">1000000000*AD53/L53</f>
        <v>5.1834221113965588</v>
      </c>
      <c r="CU53" s="190">
        <f t="shared" ref="CU53:CU84" si="95">CT53*L53/1000000000</f>
        <v>30.608344175465799</v>
      </c>
      <c r="CV53" s="198">
        <f t="shared" si="59"/>
        <v>1512.0917229267748</v>
      </c>
      <c r="CW53" s="198">
        <f t="shared" si="60"/>
        <v>1512.0917229267748</v>
      </c>
      <c r="CX53" s="198">
        <v>1512.0917229267748</v>
      </c>
      <c r="CY53" s="198">
        <f t="shared" si="61"/>
        <v>0</v>
      </c>
      <c r="CZ53" s="199">
        <f>IF(CX53&lt;intermediates!$B$55,intermediates!$B$56+(CX53-intermediates!$B$55)*intermediates!$B$53,intermediates!$B$56+(data!CX53-intermediates!$B$55)*intermediates!$B$58)</f>
        <v>0.79136677791040755</v>
      </c>
      <c r="DA53" s="220">
        <v>1491316.42</v>
      </c>
      <c r="DB53" s="220">
        <v>3402061.32</v>
      </c>
      <c r="DC53" s="220">
        <v>4077402.4019999998</v>
      </c>
      <c r="DD53" s="209">
        <f t="shared" si="33"/>
        <v>3.4124989306517804E-3</v>
      </c>
      <c r="DE53" s="209">
        <f t="shared" si="34"/>
        <v>4.6321008550468503E-3</v>
      </c>
      <c r="DF53" s="209">
        <f t="shared" si="75"/>
        <v>-1.8170750684659812E-3</v>
      </c>
      <c r="DG53" s="201">
        <f t="shared" si="77"/>
        <v>14913164200000</v>
      </c>
      <c r="DH53" s="201">
        <f t="shared" si="77"/>
        <v>34020613200000</v>
      </c>
      <c r="DI53" s="201">
        <f t="shared" si="77"/>
        <v>40774024020000</v>
      </c>
      <c r="DJ53" s="220">
        <v>8529288099004020</v>
      </c>
      <c r="DK53" s="220">
        <v>1071435115535510</v>
      </c>
      <c r="DL53" s="220">
        <v>9600723214539530</v>
      </c>
      <c r="DM53" s="220">
        <v>2224738120129850</v>
      </c>
      <c r="DN53" s="220">
        <v>87275660502509.594</v>
      </c>
      <c r="DO53" s="220">
        <v>2312013780632360</v>
      </c>
      <c r="DP53" s="220">
        <v>4764994262052530</v>
      </c>
      <c r="DQ53" s="220">
        <v>897812545470710</v>
      </c>
      <c r="DR53" s="220">
        <v>5662806807523240</v>
      </c>
      <c r="DS53" s="220">
        <v>624573058522949</v>
      </c>
      <c r="DT53" s="220">
        <v>74303458594533.594</v>
      </c>
      <c r="DU53" s="220">
        <v>698876517117483</v>
      </c>
      <c r="DV53" s="220">
        <v>1528220341949840</v>
      </c>
      <c r="DW53" s="220">
        <v>2921314304672.6201</v>
      </c>
      <c r="DX53" s="220">
        <v>1531141656254510</v>
      </c>
      <c r="DY53" s="220">
        <v>286349409324217</v>
      </c>
      <c r="DZ53" s="220">
        <v>4358361304079.2202</v>
      </c>
      <c r="EA53" s="220">
        <v>290707770628296</v>
      </c>
      <c r="EB53" s="220">
        <v>376464931613708</v>
      </c>
      <c r="EC53" s="220">
        <v>12356134865699.5</v>
      </c>
      <c r="ED53" s="220">
        <v>388821066479408</v>
      </c>
      <c r="EE53" s="212">
        <f t="shared" si="78"/>
        <v>2627.3360319535914</v>
      </c>
      <c r="EG53" s="212">
        <f t="shared" si="10"/>
        <v>0.1585455015484431</v>
      </c>
      <c r="EI53" s="212">
        <f t="shared" si="35"/>
        <v>0.1585455015484431</v>
      </c>
      <c r="EJ53" s="212">
        <v>0.32241813602015112</v>
      </c>
      <c r="EK53" s="212">
        <v>0.16220183486238532</v>
      </c>
      <c r="EL53" s="212">
        <v>7.5137188687209797E-2</v>
      </c>
      <c r="EM53" s="212">
        <v>0.26864035087719296</v>
      </c>
      <c r="EN53" s="212">
        <f t="shared" si="79"/>
        <v>2210.783723031213</v>
      </c>
      <c r="EP53" s="212">
        <f t="shared" si="80"/>
        <v>416.55230892237847</v>
      </c>
      <c r="ER53" s="215">
        <f t="shared" si="13"/>
        <v>571.93014068764967</v>
      </c>
      <c r="ES53" s="209">
        <f t="shared" si="42"/>
        <v>6.2713360444189448</v>
      </c>
      <c r="EU53" s="215">
        <f t="shared" si="14"/>
        <v>571.93014068764967</v>
      </c>
      <c r="EV53" s="216">
        <f>data!EU53*conversions!$C$13</f>
        <v>0.66515475361973653</v>
      </c>
      <c r="EW53" s="217">
        <f t="shared" si="15"/>
        <v>3.175237838177096E-2</v>
      </c>
      <c r="EX53" s="217"/>
      <c r="EZ53" s="217">
        <f t="shared" si="36"/>
        <v>3.175237838177096E-2</v>
      </c>
      <c r="FA53" s="212">
        <f t="shared" si="16"/>
        <v>2.0764095630913793</v>
      </c>
      <c r="FD53" s="212">
        <f t="shared" si="37"/>
        <v>2.0764095630913793</v>
      </c>
      <c r="FE53" s="184">
        <f t="shared" si="17"/>
        <v>0.83795325769398332</v>
      </c>
      <c r="FG53" s="184">
        <f t="shared" si="38"/>
        <v>0.83795325769398332</v>
      </c>
      <c r="FH53" s="184">
        <f t="shared" si="18"/>
        <v>3.3572486472540949E-2</v>
      </c>
      <c r="FJ53" s="184">
        <f t="shared" si="39"/>
        <v>3.3572486472540949E-2</v>
      </c>
      <c r="FK53" s="184">
        <f t="shared" si="19"/>
        <v>4.4137907788302809E-2</v>
      </c>
      <c r="FM53" s="184">
        <f t="shared" si="40"/>
        <v>4.4137907788302809E-2</v>
      </c>
      <c r="FN53" s="218"/>
      <c r="FO53" s="218">
        <f t="shared" si="81"/>
        <v>897812545470709.88</v>
      </c>
      <c r="FP53" s="218">
        <f t="shared" si="21"/>
        <v>1071435115535509.9</v>
      </c>
      <c r="FQ53" s="218">
        <f t="shared" si="22"/>
        <v>34020613199999.996</v>
      </c>
      <c r="FR53" s="218">
        <f t="shared" si="23"/>
        <v>2224738120129849.5</v>
      </c>
      <c r="FS53" s="218">
        <f t="shared" si="24"/>
        <v>3889877385120.8062</v>
      </c>
      <c r="FT53" s="218">
        <f>intermediates!$B$69*data!EU53/intermediates!$B$71</f>
        <v>1.4557531103023638</v>
      </c>
      <c r="FU53" s="218">
        <f>(Y53+W53)*conversions!$C$1*1000000</f>
        <v>557931206341.09351</v>
      </c>
      <c r="FV53" s="218">
        <f t="shared" si="41"/>
        <v>383259498051.2937</v>
      </c>
      <c r="FW53" s="221">
        <f t="shared" si="25"/>
        <v>794873453830.09033</v>
      </c>
      <c r="FX53" s="221">
        <f t="shared" si="26"/>
        <v>411613955778.79663</v>
      </c>
      <c r="FY53" s="221">
        <f>FX53*intermediates!$B$72*1000*ER53/(intermediates!$B$71*10000*1000000000)</f>
        <v>47.936663709507421</v>
      </c>
      <c r="FZ53" s="221">
        <f t="shared" si="82"/>
        <v>8.1179158596108696</v>
      </c>
      <c r="GA53" s="218"/>
      <c r="GB53" s="218"/>
      <c r="GC53" s="218">
        <f t="shared" si="83"/>
        <v>8331427080103.5713</v>
      </c>
      <c r="GD53" s="218">
        <f t="shared" si="29"/>
        <v>13016177919054.469</v>
      </c>
      <c r="GE53" s="218">
        <f t="shared" si="30"/>
        <v>14112896684575.375</v>
      </c>
      <c r="GF53" s="218">
        <f t="shared" si="31"/>
        <v>473805033031.27478</v>
      </c>
      <c r="GG53" s="218">
        <f t="shared" si="32"/>
        <v>622913732489.63232</v>
      </c>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188">
        <f t="shared" si="64"/>
        <v>1997</v>
      </c>
      <c r="HN53" s="185">
        <f t="shared" si="68"/>
        <v>2525.4951598175171</v>
      </c>
      <c r="HO53" s="185">
        <f t="shared" si="69"/>
        <v>5761.2786138721613</v>
      </c>
      <c r="HP53" s="185">
        <f t="shared" si="70"/>
        <v>6904.9464572242277</v>
      </c>
      <c r="IC53" s="185">
        <f t="shared" si="71"/>
        <v>8286.7737736896779</v>
      </c>
    </row>
    <row r="54" spans="1:237" x14ac:dyDescent="0.3">
      <c r="A54" s="211">
        <v>1998</v>
      </c>
      <c r="B54" s="207">
        <v>5984794.0750000002</v>
      </c>
      <c r="C54" s="207">
        <v>1177448.5880000002</v>
      </c>
      <c r="D54" s="207">
        <f t="shared" si="1"/>
        <v>4807345.4869999997</v>
      </c>
      <c r="H54" s="207">
        <f t="shared" si="5"/>
        <v>5984794075</v>
      </c>
      <c r="L54" s="187">
        <f t="shared" si="6"/>
        <v>5984794075</v>
      </c>
      <c r="M54" s="184">
        <v>8965.6747926670887</v>
      </c>
      <c r="N54" s="184">
        <v>5231.2390764035481</v>
      </c>
      <c r="O54" s="184">
        <v>3734.4357162635424</v>
      </c>
      <c r="P54" s="184">
        <v>3593.0020550824142</v>
      </c>
      <c r="Q54" s="184">
        <v>1929.3862447944907</v>
      </c>
      <c r="R54" s="184">
        <v>2265.0111843061668</v>
      </c>
      <c r="S54" s="184">
        <v>550.16200399182071</v>
      </c>
      <c r="T54" s="184">
        <v>586.1790173865179</v>
      </c>
      <c r="U54" s="184">
        <v>0.18821309799628672</v>
      </c>
      <c r="V54" s="184">
        <v>3.6025841217823373</v>
      </c>
      <c r="W54" s="184">
        <v>38.143489885905417</v>
      </c>
      <c r="X54" s="184">
        <v>10851.970137932396</v>
      </c>
      <c r="Y54" s="184">
        <f t="shared" si="66"/>
        <v>10.851970137932396</v>
      </c>
      <c r="Z54" s="184">
        <v>6.5911123805710128</v>
      </c>
      <c r="AA54" s="184">
        <v>1.1874079700690245</v>
      </c>
      <c r="AB54" s="184">
        <f>Z54*conversions!$C$6/conversions!$C$8</f>
        <v>24.15136968444223</v>
      </c>
      <c r="AC54" s="184">
        <f>AA54*conversions!$C$6/conversions!$C$8</f>
        <v>4.3509391428257942</v>
      </c>
      <c r="AD54" s="184">
        <f t="shared" si="7"/>
        <v>28.502308827268024</v>
      </c>
      <c r="AE54" s="212">
        <f t="shared" si="43"/>
        <v>8337.5614881748916</v>
      </c>
      <c r="AF54" s="212">
        <f t="shared" si="44"/>
        <v>3.4185425639969984</v>
      </c>
      <c r="AG54" s="184">
        <f>M54*conversions!$C$1*1000000/data!L54</f>
        <v>17477.550261039298</v>
      </c>
      <c r="AH54" s="184">
        <f>N54*conversions!$C$1*1000/C54</f>
        <v>51833.365108287333</v>
      </c>
      <c r="AI54" s="184">
        <f>O54*conversions!$C$1*1000/D54</f>
        <v>9062.8844562053691</v>
      </c>
      <c r="AK54" s="192">
        <f t="shared" si="84"/>
        <v>17477.550261039298</v>
      </c>
      <c r="AL54" s="192">
        <f t="shared" si="85"/>
        <v>104599539247782.69</v>
      </c>
      <c r="AM54" s="192">
        <f>data!AL54/(1000000*conversions!$C$1)</f>
        <v>8965.6747926670887</v>
      </c>
      <c r="AN54" s="192">
        <f t="shared" si="47"/>
        <v>8965.6747926670887</v>
      </c>
      <c r="AO54" s="212">
        <f t="shared" si="72"/>
        <v>1.3114547515669992</v>
      </c>
      <c r="AP54" s="212">
        <f t="shared" si="76"/>
        <v>1.3010533629782286</v>
      </c>
      <c r="AQ54" s="212">
        <f t="shared" si="73"/>
        <v>1.0041283329081591E-4</v>
      </c>
      <c r="AR54" s="212">
        <f t="shared" ref="AR54:AR74" si="96">T54-T53</f>
        <v>4.737217606775971</v>
      </c>
      <c r="AS54" s="212">
        <f t="shared" si="74"/>
        <v>-0.52532177512795819</v>
      </c>
      <c r="AT54" s="212">
        <f t="shared" si="86"/>
        <v>4.2543914170411904E-3</v>
      </c>
      <c r="AU54" s="212">
        <f t="shared" si="67"/>
        <v>1.2103907836148689E-3</v>
      </c>
      <c r="BR54" s="212" t="str">
        <f t="shared" si="87"/>
        <v/>
      </c>
      <c r="CD54" s="173">
        <f t="shared" si="63"/>
        <v>1998</v>
      </c>
      <c r="CE54" s="173">
        <f t="shared" si="88"/>
        <v>3593.0020550824142</v>
      </c>
      <c r="CF54" s="173">
        <f t="shared" si="89"/>
        <v>1929.3862447944907</v>
      </c>
      <c r="CG54" s="173">
        <f t="shared" si="90"/>
        <v>2265.0111843061668</v>
      </c>
      <c r="CH54" s="173">
        <f t="shared" si="91"/>
        <v>550.16200399182071</v>
      </c>
      <c r="CI54" s="173"/>
      <c r="CJ54" s="173">
        <f t="shared" si="92"/>
        <v>586.1790173865179</v>
      </c>
      <c r="CK54" s="173">
        <f t="shared" si="93"/>
        <v>48.995460023837815</v>
      </c>
      <c r="CL54" s="173">
        <v>0</v>
      </c>
      <c r="CM54" s="173">
        <f t="shared" si="65"/>
        <v>0.18821309799628672</v>
      </c>
      <c r="CN54" s="173">
        <f t="shared" si="62"/>
        <v>3.6025841217823373</v>
      </c>
      <c r="CO54" s="173"/>
      <c r="CP54" s="174"/>
      <c r="CQ54" s="174"/>
      <c r="CR54" s="174"/>
      <c r="CT54" s="190">
        <f t="shared" si="94"/>
        <v>4.7624543919279336</v>
      </c>
      <c r="CU54" s="190">
        <f t="shared" si="95"/>
        <v>28.502308827268024</v>
      </c>
      <c r="CV54" s="198">
        <f t="shared" si="59"/>
        <v>1540.594031754043</v>
      </c>
      <c r="CW54" s="198">
        <f t="shared" si="60"/>
        <v>1540.594031754043</v>
      </c>
      <c r="CX54" s="198">
        <v>1540.594031754043</v>
      </c>
      <c r="CY54" s="198">
        <f t="shared" si="61"/>
        <v>0</v>
      </c>
      <c r="CZ54" s="199">
        <f>IF(CX54&lt;intermediates!$B$55,intermediates!$B$56+(CX54-intermediates!$B$55)*intermediates!$B$53,intermediates!$B$56+(data!CX54-intermediates!$B$55)*intermediates!$B$58)</f>
        <v>0.80686632483461362</v>
      </c>
      <c r="DA54" s="220">
        <v>1492236.42</v>
      </c>
      <c r="DB54" s="220">
        <v>3415738.32</v>
      </c>
      <c r="DC54" s="220">
        <v>4070135.676</v>
      </c>
      <c r="DD54" s="209">
        <f t="shared" si="33"/>
        <v>5.8923867527763238E-4</v>
      </c>
      <c r="DE54" s="209">
        <f t="shared" si="34"/>
        <v>4.1871492752654366E-3</v>
      </c>
      <c r="DF54" s="209">
        <f t="shared" si="75"/>
        <v>-1.8170750684658647E-3</v>
      </c>
      <c r="DG54" s="201">
        <f t="shared" si="77"/>
        <v>14922364200000</v>
      </c>
      <c r="DH54" s="201">
        <f t="shared" si="77"/>
        <v>34157383200000</v>
      </c>
      <c r="DI54" s="201">
        <f t="shared" si="77"/>
        <v>40701356760000</v>
      </c>
      <c r="DJ54" s="220">
        <v>8612370828530450</v>
      </c>
      <c r="DK54" s="220">
        <v>1095907524602860</v>
      </c>
      <c r="DL54" s="220">
        <v>9708278353133320</v>
      </c>
      <c r="DM54" s="220">
        <v>2223652857633630</v>
      </c>
      <c r="DN54" s="220">
        <v>75939737415051.406</v>
      </c>
      <c r="DO54" s="220">
        <v>2299592595048680</v>
      </c>
      <c r="DP54" s="220">
        <v>4839800297050290</v>
      </c>
      <c r="DQ54" s="220">
        <v>927275955443102</v>
      </c>
      <c r="DR54" s="220">
        <v>5767076252493390</v>
      </c>
      <c r="DS54" s="220">
        <v>646460243436856</v>
      </c>
      <c r="DT54" s="220">
        <v>77337823218495.297</v>
      </c>
      <c r="DU54" s="220">
        <v>723798066655352</v>
      </c>
      <c r="DV54" s="220">
        <v>1583327444913170</v>
      </c>
      <c r="DW54" s="220">
        <v>2668937174702.0601</v>
      </c>
      <c r="DX54" s="220">
        <v>1585996382087880</v>
      </c>
      <c r="DY54" s="220">
        <v>277647729024000</v>
      </c>
      <c r="DZ54" s="220">
        <v>4499786431150.9297</v>
      </c>
      <c r="EA54" s="220">
        <v>282147515455151</v>
      </c>
      <c r="EB54" s="220">
        <v>385346822521082</v>
      </c>
      <c r="EC54" s="220">
        <v>12533268530710</v>
      </c>
      <c r="ED54" s="220">
        <v>397880091051792</v>
      </c>
      <c r="EE54" s="212">
        <f t="shared" si="78"/>
        <v>2640.0589081155304</v>
      </c>
      <c r="EG54" s="212">
        <f t="shared" si="10"/>
        <v>0.16078787844051742</v>
      </c>
      <c r="EI54" s="212">
        <f t="shared" si="35"/>
        <v>0.16078787844051742</v>
      </c>
      <c r="EJ54" s="212">
        <v>0.31780821917808222</v>
      </c>
      <c r="EK54" s="212">
        <v>0.17003610108303249</v>
      </c>
      <c r="EL54" s="212">
        <v>7.6662431173231682E-2</v>
      </c>
      <c r="EM54" s="212">
        <v>0.27419354838709675</v>
      </c>
      <c r="EN54" s="212">
        <f t="shared" si="79"/>
        <v>2215.5694373216461</v>
      </c>
      <c r="EP54" s="212">
        <f t="shared" si="80"/>
        <v>424.48947079388506</v>
      </c>
      <c r="ER54" s="215">
        <f t="shared" si="13"/>
        <v>577.14519717528742</v>
      </c>
      <c r="ES54" s="209">
        <f t="shared" si="42"/>
        <v>5.215056487637753</v>
      </c>
      <c r="EU54" s="215">
        <f t="shared" si="14"/>
        <v>577.14519717528742</v>
      </c>
      <c r="EV54" s="216">
        <f>data!EU54*conversions!$C$13</f>
        <v>0.67121986431485925</v>
      </c>
      <c r="EW54" s="217">
        <f t="shared" si="15"/>
        <v>3.1168125442316046E-2</v>
      </c>
      <c r="EX54" s="217"/>
      <c r="EZ54" s="217">
        <f t="shared" si="36"/>
        <v>3.1168125442316046E-2</v>
      </c>
      <c r="FA54" s="212">
        <f t="shared" si="16"/>
        <v>2.0290515465157042</v>
      </c>
      <c r="FD54" s="212">
        <f t="shared" si="37"/>
        <v>2.0290515465157042</v>
      </c>
      <c r="FE54" s="184">
        <f t="shared" si="17"/>
        <v>0.8461260960673963</v>
      </c>
      <c r="FG54" s="184">
        <f t="shared" si="38"/>
        <v>0.8461260960673963</v>
      </c>
      <c r="FH54" s="184">
        <f t="shared" si="18"/>
        <v>3.223824595478731E-2</v>
      </c>
      <c r="FJ54" s="184">
        <f t="shared" si="39"/>
        <v>3.223824595478731E-2</v>
      </c>
      <c r="FK54" s="184">
        <f t="shared" si="19"/>
        <v>4.4743408080447772E-2</v>
      </c>
      <c r="FM54" s="184">
        <f t="shared" si="40"/>
        <v>4.4743408080447772E-2</v>
      </c>
      <c r="FN54" s="218"/>
      <c r="FO54" s="218">
        <f t="shared" si="81"/>
        <v>927275955443102</v>
      </c>
      <c r="FP54" s="218">
        <f t="shared" si="21"/>
        <v>1095907524602860</v>
      </c>
      <c r="FQ54" s="218">
        <f t="shared" si="22"/>
        <v>34157383200000</v>
      </c>
      <c r="FR54" s="218">
        <f t="shared" si="23"/>
        <v>2223652857633630.3</v>
      </c>
      <c r="FS54" s="218">
        <f t="shared" si="24"/>
        <v>3852848240818.4614</v>
      </c>
      <c r="FT54" s="218">
        <f>intermediates!$B$69*data!EU54/intermediates!$B$71</f>
        <v>1.4690271697760493</v>
      </c>
      <c r="FU54" s="218">
        <f>(Y54+W54)*conversions!$C$1*1000000</f>
        <v>571613700278.10779</v>
      </c>
      <c r="FV54" s="218">
        <f t="shared" si="41"/>
        <v>389110366396.59247</v>
      </c>
      <c r="FW54" s="221">
        <f t="shared" si="25"/>
        <v>822728549450.57471</v>
      </c>
      <c r="FX54" s="221">
        <f t="shared" si="26"/>
        <v>433618183053.98224</v>
      </c>
      <c r="FY54" s="221">
        <f>FX54*intermediates!$B$72*1000*ER54/(intermediates!$B$71*10000*1000000000)</f>
        <v>50.959751377217955</v>
      </c>
      <c r="FZ54" s="221">
        <f t="shared" si="82"/>
        <v>8.5148713119620503</v>
      </c>
      <c r="GA54" s="218"/>
      <c r="GB54" s="218"/>
      <c r="GC54" s="218">
        <f t="shared" si="83"/>
        <v>8385758593743.2168</v>
      </c>
      <c r="GD54" s="218">
        <f t="shared" si="29"/>
        <v>13061335384012.252</v>
      </c>
      <c r="GE54" s="218">
        <f t="shared" si="30"/>
        <v>14150677980685.393</v>
      </c>
      <c r="GF54" s="218">
        <f t="shared" si="31"/>
        <v>456193037168.32874</v>
      </c>
      <c r="GG54" s="218">
        <f t="shared" si="32"/>
        <v>633149559504.81311</v>
      </c>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188">
        <f t="shared" si="64"/>
        <v>1998</v>
      </c>
      <c r="HN54" s="185">
        <f t="shared" si="68"/>
        <v>2493.3797241804014</v>
      </c>
      <c r="HO54" s="185">
        <f t="shared" si="69"/>
        <v>5707.3614851150915</v>
      </c>
      <c r="HP54" s="185">
        <f t="shared" si="70"/>
        <v>6800.7948560870072</v>
      </c>
      <c r="IC54" s="185">
        <f t="shared" si="71"/>
        <v>8200.7412092954928</v>
      </c>
    </row>
    <row r="55" spans="1:237" x14ac:dyDescent="0.3">
      <c r="A55" s="184">
        <v>1999</v>
      </c>
      <c r="B55" s="207">
        <v>6064239.0330000101</v>
      </c>
      <c r="C55" s="207">
        <v>1186154.4069999999</v>
      </c>
      <c r="D55" s="207">
        <f t="shared" si="1"/>
        <v>4878084.6260000104</v>
      </c>
      <c r="H55" s="207">
        <f t="shared" si="5"/>
        <v>6064239033.0000105</v>
      </c>
      <c r="L55" s="187">
        <f t="shared" si="6"/>
        <v>6064239033.0000105</v>
      </c>
      <c r="M55" s="184">
        <v>9128.5798365816536</v>
      </c>
      <c r="N55" s="184">
        <v>5311.4736334610016</v>
      </c>
      <c r="O55" s="184">
        <v>3817.1062031206525</v>
      </c>
      <c r="P55" s="184">
        <v>3657.1619860303053</v>
      </c>
      <c r="Q55" s="184">
        <v>1984.0016049522869</v>
      </c>
      <c r="R55" s="184">
        <v>2280.9177654690088</v>
      </c>
      <c r="S55" s="184">
        <v>571.20179110400113</v>
      </c>
      <c r="T55" s="184">
        <v>590.19312580265114</v>
      </c>
      <c r="U55" s="184">
        <v>0.20731250831075165</v>
      </c>
      <c r="V55" s="184">
        <v>4.8006910455286391</v>
      </c>
      <c r="W55" s="184">
        <v>40.095559669562192</v>
      </c>
      <c r="X55" s="184">
        <v>10470.209329965863</v>
      </c>
      <c r="Y55" s="184">
        <f t="shared" si="66"/>
        <v>10.470209329965863</v>
      </c>
      <c r="Z55" s="184">
        <v>6.6748141651790025</v>
      </c>
      <c r="AA55" s="184">
        <v>1.1614055728039947</v>
      </c>
      <c r="AB55" s="184">
        <f>Z55*conversions!$C$6/conversions!$C$8</f>
        <v>24.458072502812314</v>
      </c>
      <c r="AC55" s="184">
        <f>AA55*conversions!$C$6/conversions!$C$8</f>
        <v>4.2556603078175135</v>
      </c>
      <c r="AD55" s="184">
        <f t="shared" si="7"/>
        <v>28.713732810629828</v>
      </c>
      <c r="AE55" s="212">
        <f t="shared" si="43"/>
        <v>8493.2831475556013</v>
      </c>
      <c r="AF55" s="212">
        <f t="shared" si="44"/>
        <v>3.380757748420733</v>
      </c>
      <c r="AG55" s="184">
        <f>M55*conversions!$C$1*1000000/data!L55</f>
        <v>17561.98881902689</v>
      </c>
      <c r="AH55" s="184">
        <f>N55*conversions!$C$1*1000/C55</f>
        <v>52242.095990777998</v>
      </c>
      <c r="AI55" s="184">
        <f>O55*conversions!$C$1*1000/D55</f>
        <v>9129.1785849133375</v>
      </c>
      <c r="AK55" s="192">
        <f t="shared" si="84"/>
        <v>17561.98881902689</v>
      </c>
      <c r="AL55" s="192">
        <f t="shared" si="85"/>
        <v>106500098093452.63</v>
      </c>
      <c r="AM55" s="192">
        <f>data!AL55/(1000000*conversions!$C$1)</f>
        <v>9128.5798365816536</v>
      </c>
      <c r="AN55" s="192">
        <f t="shared" si="47"/>
        <v>9128.5798365816536</v>
      </c>
      <c r="AO55" s="212">
        <f t="shared" si="72"/>
        <v>1.3210950793437191</v>
      </c>
      <c r="AP55" s="212">
        <f t="shared" si="76"/>
        <v>1.3230039513472058</v>
      </c>
      <c r="AQ55" s="212">
        <f t="shared" si="73"/>
        <v>1.3334016417131643E-4</v>
      </c>
      <c r="AR55" s="212">
        <f t="shared" si="96"/>
        <v>4.0141084161332401</v>
      </c>
      <c r="AS55" s="212">
        <f t="shared" si="74"/>
        <v>-0.38176080796653267</v>
      </c>
      <c r="AT55" s="212">
        <f t="shared" si="86"/>
        <v>4.3923107851764854E-3</v>
      </c>
      <c r="AU55" s="212">
        <f t="shared" si="67"/>
        <v>1.1469702316682158E-3</v>
      </c>
      <c r="BR55" s="212" t="str">
        <f t="shared" si="87"/>
        <v/>
      </c>
      <c r="CD55" s="173">
        <f t="shared" si="63"/>
        <v>1999</v>
      </c>
      <c r="CE55" s="173">
        <f t="shared" si="88"/>
        <v>3657.1619860303053</v>
      </c>
      <c r="CF55" s="173">
        <f t="shared" si="89"/>
        <v>1984.0016049522869</v>
      </c>
      <c r="CG55" s="173">
        <f t="shared" si="90"/>
        <v>2280.9177654690088</v>
      </c>
      <c r="CH55" s="173">
        <f t="shared" si="91"/>
        <v>571.20179110400113</v>
      </c>
      <c r="CI55" s="173"/>
      <c r="CJ55" s="173">
        <f t="shared" si="92"/>
        <v>590.19312580265114</v>
      </c>
      <c r="CK55" s="173">
        <f t="shared" si="93"/>
        <v>50.565768999528053</v>
      </c>
      <c r="CL55" s="173">
        <v>0</v>
      </c>
      <c r="CM55" s="173">
        <f t="shared" si="65"/>
        <v>0.20731250831075165</v>
      </c>
      <c r="CN55" s="173">
        <f t="shared" si="62"/>
        <v>4.8006910455286391</v>
      </c>
      <c r="CO55" s="173"/>
      <c r="CP55" s="174"/>
      <c r="CQ55" s="174"/>
      <c r="CR55" s="174"/>
      <c r="CT55" s="190">
        <f t="shared" si="94"/>
        <v>4.7349276066423451</v>
      </c>
      <c r="CU55" s="190">
        <f t="shared" si="95"/>
        <v>28.713732810629828</v>
      </c>
      <c r="CV55" s="198">
        <f t="shared" si="59"/>
        <v>1569.3077645646727</v>
      </c>
      <c r="CW55" s="198">
        <f t="shared" si="60"/>
        <v>1569.3077645646727</v>
      </c>
      <c r="CX55" s="198">
        <v>1569.3077645646727</v>
      </c>
      <c r="CY55" s="198">
        <f t="shared" si="61"/>
        <v>0</v>
      </c>
      <c r="CZ55" s="199">
        <f>IF(CX55&lt;intermediates!$B$55,intermediates!$B$56+(CX55-intermediates!$B$55)*intermediates!$B$53,intermediates!$B$56+(data!CX55-intermediates!$B$55)*intermediates!$B$58)</f>
        <v>0.82248084405705957</v>
      </c>
      <c r="DA55" s="220">
        <v>1495784.59</v>
      </c>
      <c r="DB55" s="220">
        <v>3415243.32</v>
      </c>
      <c r="DC55" s="220">
        <v>4062868.95</v>
      </c>
      <c r="DD55" s="209">
        <f t="shared" si="33"/>
        <v>2.2725206418042721E-3</v>
      </c>
      <c r="DE55" s="209">
        <f t="shared" si="34"/>
        <v>-1.5154192375933255E-4</v>
      </c>
      <c r="DF55" s="209">
        <f t="shared" si="75"/>
        <v>-1.8170750684658647E-3</v>
      </c>
      <c r="DG55" s="201">
        <f t="shared" si="77"/>
        <v>14957845900000</v>
      </c>
      <c r="DH55" s="201">
        <f t="shared" si="77"/>
        <v>34152433200000</v>
      </c>
      <c r="DI55" s="201">
        <f t="shared" si="77"/>
        <v>40628689500000</v>
      </c>
      <c r="DJ55" s="220">
        <v>8698803280720620</v>
      </c>
      <c r="DK55" s="220">
        <v>1127591870810550</v>
      </c>
      <c r="DL55" s="220">
        <v>9826395151531170</v>
      </c>
      <c r="DM55" s="220">
        <v>2247408243819550</v>
      </c>
      <c r="DN55" s="220">
        <v>81827099659513.594</v>
      </c>
      <c r="DO55" s="220">
        <v>2329235343479060</v>
      </c>
      <c r="DP55" s="220">
        <v>4914911275638610</v>
      </c>
      <c r="DQ55" s="220">
        <v>953473602631700</v>
      </c>
      <c r="DR55" s="220">
        <v>5868384878270310</v>
      </c>
      <c r="DS55" s="220">
        <v>680844983114259</v>
      </c>
      <c r="DT55" s="220">
        <v>80972930143946.406</v>
      </c>
      <c r="DU55" s="220">
        <v>761817913258205</v>
      </c>
      <c r="DV55" s="220">
        <v>1609734479017690</v>
      </c>
      <c r="DW55" s="220">
        <v>2370701782376.4902</v>
      </c>
      <c r="DX55" s="220">
        <v>1612105180800070</v>
      </c>
      <c r="DY55" s="220">
        <v>276491663758913</v>
      </c>
      <c r="DZ55" s="220">
        <v>4672141972278.4805</v>
      </c>
      <c r="EA55" s="220">
        <v>281163805731192</v>
      </c>
      <c r="EB55" s="220">
        <v>392116142508267</v>
      </c>
      <c r="EC55" s="220">
        <v>13151671829906.9</v>
      </c>
      <c r="ED55" s="220">
        <v>405267814338174</v>
      </c>
      <c r="EE55" s="212">
        <f t="shared" si="78"/>
        <v>2651.2422584747483</v>
      </c>
      <c r="EG55" s="212">
        <f t="shared" si="10"/>
        <v>0.16247632396475223</v>
      </c>
      <c r="EI55" s="212">
        <f t="shared" si="35"/>
        <v>0.16247632396475223</v>
      </c>
      <c r="EJ55" s="212">
        <v>0.31564501372369624</v>
      </c>
      <c r="EK55" s="212">
        <v>0.17661961635903003</v>
      </c>
      <c r="EL55" s="212">
        <v>7.7147623019182654E-2</v>
      </c>
      <c r="EM55" s="212">
        <v>0.27906343588347399</v>
      </c>
      <c r="EN55" s="212">
        <f t="shared" si="79"/>
        <v>2220.4781623777635</v>
      </c>
      <c r="EP55" s="212">
        <f t="shared" si="80"/>
        <v>430.76409609698459</v>
      </c>
      <c r="ER55" s="215">
        <f t="shared" si="13"/>
        <v>581.5545459470618</v>
      </c>
      <c r="ES55" s="209">
        <f t="shared" si="42"/>
        <v>4.4093487717743756</v>
      </c>
      <c r="EU55" s="215">
        <f t="shared" si="14"/>
        <v>581.5545459470618</v>
      </c>
      <c r="EV55" s="216">
        <f>data!EU55*conversions!$C$13</f>
        <v>0.6763479369364328</v>
      </c>
      <c r="EW55" s="217">
        <f t="shared" si="15"/>
        <v>3.028793846788742E-2</v>
      </c>
      <c r="EX55" s="217"/>
      <c r="EZ55" s="217">
        <f t="shared" si="36"/>
        <v>3.028793846788742E-2</v>
      </c>
      <c r="FA55" s="212">
        <f t="shared" si="16"/>
        <v>1.9931043332230121</v>
      </c>
      <c r="FD55" s="212">
        <f t="shared" si="37"/>
        <v>1.9931043332230121</v>
      </c>
      <c r="FE55" s="184">
        <f t="shared" si="17"/>
        <v>0.84558396288039206</v>
      </c>
      <c r="FG55" s="184">
        <f t="shared" si="38"/>
        <v>0.84558396288039206</v>
      </c>
      <c r="FH55" s="184">
        <f t="shared" si="18"/>
        <v>3.1785023161945571E-2</v>
      </c>
      <c r="FJ55" s="184">
        <f t="shared" si="39"/>
        <v>3.1785023161945571E-2</v>
      </c>
      <c r="FK55" s="184">
        <f t="shared" si="19"/>
        <v>4.5077021499879646E-2</v>
      </c>
      <c r="FM55" s="184">
        <f t="shared" si="40"/>
        <v>4.5077021499879646E-2</v>
      </c>
      <c r="FN55" s="218"/>
      <c r="FO55" s="218">
        <f t="shared" si="81"/>
        <v>953473602631700</v>
      </c>
      <c r="FP55" s="218">
        <f t="shared" si="21"/>
        <v>1127591870810550</v>
      </c>
      <c r="FQ55" s="218">
        <f t="shared" si="22"/>
        <v>34152433200000</v>
      </c>
      <c r="FR55" s="218">
        <f t="shared" si="23"/>
        <v>2247408243819550</v>
      </c>
      <c r="FS55" s="218">
        <f t="shared" si="24"/>
        <v>3864484010110.5991</v>
      </c>
      <c r="FT55" s="218">
        <f>intermediates!$B$69*data!EU55/intermediates!$B$71</f>
        <v>1.4802504341789373</v>
      </c>
      <c r="FU55" s="218">
        <f>(Y55+W55)*conversions!$C$1*1000000</f>
        <v>589933971661.16064</v>
      </c>
      <c r="FV55" s="218">
        <f t="shared" si="41"/>
        <v>398536597618.62134</v>
      </c>
      <c r="FW55" s="221">
        <f t="shared" si="25"/>
        <v>866488869261.77844</v>
      </c>
      <c r="FX55" s="221">
        <f t="shared" si="26"/>
        <v>467952271643.1571</v>
      </c>
      <c r="FY55" s="221">
        <f>FX55*intermediates!$B$72*1000*ER55/(intermediates!$B$71*10000*1000000000)</f>
        <v>55.414924261984268</v>
      </c>
      <c r="FZ55" s="221">
        <f t="shared" si="82"/>
        <v>9.1379848255371652</v>
      </c>
      <c r="GA55" s="218"/>
      <c r="GB55" s="218"/>
      <c r="GC55" s="218">
        <f t="shared" si="83"/>
        <v>8451333258232.3389</v>
      </c>
      <c r="GD55" s="218">
        <f t="shared" si="29"/>
        <v>13182306137604.717</v>
      </c>
      <c r="GE55" s="218">
        <f t="shared" si="30"/>
        <v>14279887487429.352</v>
      </c>
      <c r="GF55" s="218">
        <f t="shared" si="31"/>
        <v>453886554537.9187</v>
      </c>
      <c r="GG55" s="218">
        <f t="shared" si="32"/>
        <v>643694795286.71521</v>
      </c>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188">
        <f t="shared" si="64"/>
        <v>1999</v>
      </c>
      <c r="HN55" s="185">
        <f t="shared" si="68"/>
        <v>2466.5660140708992</v>
      </c>
      <c r="HO55" s="185">
        <f t="shared" si="69"/>
        <v>5631.7755639497964</v>
      </c>
      <c r="HP55" s="185">
        <f t="shared" si="70"/>
        <v>6699.7176857490686</v>
      </c>
      <c r="IC55" s="185">
        <f t="shared" si="71"/>
        <v>8098.3415780206951</v>
      </c>
    </row>
    <row r="56" spans="1:237" x14ac:dyDescent="0.3">
      <c r="A56" s="211">
        <v>2000</v>
      </c>
      <c r="B56" s="207">
        <v>6143493.8059999999</v>
      </c>
      <c r="C56" s="207">
        <v>1194916.5299999998</v>
      </c>
      <c r="D56" s="207">
        <f t="shared" si="1"/>
        <v>4948577.2760000005</v>
      </c>
      <c r="H56" s="207">
        <f t="shared" si="5"/>
        <v>6143493806</v>
      </c>
      <c r="L56" s="187">
        <f t="shared" si="6"/>
        <v>6143493806</v>
      </c>
      <c r="M56" s="184">
        <v>9357.0127947699821</v>
      </c>
      <c r="N56" s="184">
        <v>5419.6303381033722</v>
      </c>
      <c r="O56" s="184">
        <v>3937.382456666608</v>
      </c>
      <c r="P56" s="184">
        <v>3702.2857342600037</v>
      </c>
      <c r="Q56" s="184">
        <v>2062.8655153456471</v>
      </c>
      <c r="R56" s="184">
        <v>2357.8444148111312</v>
      </c>
      <c r="S56" s="184">
        <v>583.99626069493218</v>
      </c>
      <c r="T56" s="184">
        <v>600.69319499430298</v>
      </c>
      <c r="U56" s="184">
        <v>0.25465162617148229</v>
      </c>
      <c r="V56" s="184">
        <v>7.1097743051394211</v>
      </c>
      <c r="W56" s="184">
        <v>41.963248732653724</v>
      </c>
      <c r="X56" s="184">
        <v>9990.9931113647126</v>
      </c>
      <c r="Y56" s="184">
        <f t="shared" si="66"/>
        <v>9.9909931113647126</v>
      </c>
      <c r="Z56" s="184">
        <v>6.865272805444425</v>
      </c>
      <c r="AA56" s="184">
        <v>1.3410948937358707</v>
      </c>
      <c r="AB56" s="184">
        <f>Z56*conversions!$C$6/conversions!$C$8</f>
        <v>25.155957285387956</v>
      </c>
      <c r="AC56" s="184">
        <f>AA56*conversions!$C$6/conversions!$C$8</f>
        <v>4.9140837980563719</v>
      </c>
      <c r="AD56" s="184">
        <f t="shared" si="7"/>
        <v>30.070041083444327</v>
      </c>
      <c r="AE56" s="212">
        <f t="shared" si="43"/>
        <v>8706.9919251117153</v>
      </c>
      <c r="AF56" s="212">
        <f t="shared" si="44"/>
        <v>3.453551047488598</v>
      </c>
      <c r="AG56" s="184">
        <f>M56*conversions!$C$1*1000000/data!L56</f>
        <v>17769.229158447441</v>
      </c>
      <c r="AH56" s="184">
        <f>N56*conversions!$C$1*1000/C56</f>
        <v>52915.010399266976</v>
      </c>
      <c r="AI56" s="184">
        <f>O56*conversions!$C$1*1000/D56</f>
        <v>9282.6940146807592</v>
      </c>
      <c r="AK56" s="192">
        <f t="shared" si="84"/>
        <v>17769.229158447441</v>
      </c>
      <c r="AL56" s="192">
        <f t="shared" si="85"/>
        <v>109165149272316.44</v>
      </c>
      <c r="AM56" s="192">
        <f>data!AL56/(1000000*conversions!$C$1)</f>
        <v>9357.0127947699802</v>
      </c>
      <c r="AN56" s="192">
        <f t="shared" si="47"/>
        <v>9357.0127947699802</v>
      </c>
      <c r="AO56" s="212">
        <f t="shared" si="72"/>
        <v>1.4705312909901911</v>
      </c>
      <c r="AP56" s="212">
        <f t="shared" si="76"/>
        <v>1.3370856480726312</v>
      </c>
      <c r="AQ56" s="212">
        <f t="shared" si="73"/>
        <v>2.5183489957271562E-4</v>
      </c>
      <c r="AR56" s="212">
        <f t="shared" si="96"/>
        <v>10.500069191651846</v>
      </c>
      <c r="AS56" s="212">
        <f t="shared" si="74"/>
        <v>-0.4792162186011506</v>
      </c>
      <c r="AT56" s="212">
        <f t="shared" si="86"/>
        <v>4.4846843381585108E-3</v>
      </c>
      <c r="AU56" s="212">
        <f t="shared" si="67"/>
        <v>1.0677545633953915E-3</v>
      </c>
      <c r="BR56" s="212" t="str">
        <f t="shared" si="87"/>
        <v/>
      </c>
      <c r="CD56" s="173">
        <f t="shared" si="63"/>
        <v>2000</v>
      </c>
      <c r="CE56" s="173">
        <f t="shared" si="88"/>
        <v>3702.2857342600037</v>
      </c>
      <c r="CF56" s="173">
        <f t="shared" si="89"/>
        <v>2062.8655153456471</v>
      </c>
      <c r="CG56" s="173">
        <f t="shared" si="90"/>
        <v>2357.8444148111312</v>
      </c>
      <c r="CH56" s="173">
        <f t="shared" si="91"/>
        <v>583.99626069493218</v>
      </c>
      <c r="CI56" s="173"/>
      <c r="CJ56" s="173">
        <f t="shared" si="92"/>
        <v>600.69319499430298</v>
      </c>
      <c r="CK56" s="173">
        <f t="shared" si="93"/>
        <v>51.954241844018441</v>
      </c>
      <c r="CL56" s="173">
        <v>0</v>
      </c>
      <c r="CM56" s="173">
        <f t="shared" si="65"/>
        <v>0.25465162617148229</v>
      </c>
      <c r="CN56" s="173">
        <f t="shared" si="62"/>
        <v>7.1097743051394211</v>
      </c>
      <c r="CO56" s="173"/>
      <c r="CP56" s="174"/>
      <c r="CQ56" s="174"/>
      <c r="CR56" s="174"/>
      <c r="CT56" s="190">
        <f t="shared" si="94"/>
        <v>4.8946156752167038</v>
      </c>
      <c r="CU56" s="190">
        <f t="shared" si="95"/>
        <v>30.070041083444327</v>
      </c>
      <c r="CV56" s="198">
        <f t="shared" si="59"/>
        <v>1599.3778056481169</v>
      </c>
      <c r="CW56" s="198">
        <f t="shared" si="60"/>
        <v>1599.3778056481169</v>
      </c>
      <c r="CX56" s="198">
        <v>1599.3778056481169</v>
      </c>
      <c r="CY56" s="198">
        <f t="shared" si="61"/>
        <v>0</v>
      </c>
      <c r="CZ56" s="199">
        <f>IF(CX56&lt;intermediates!$B$55,intermediates!$B$56+(CX56-intermediates!$B$55)*intermediates!$B$53,intermediates!$B$56+(data!CX56-intermediates!$B$55)*intermediates!$B$58)</f>
        <v>0.83883292330825898</v>
      </c>
      <c r="DA56" s="220">
        <v>1492312.22</v>
      </c>
      <c r="DB56" s="220">
        <v>3422850.88</v>
      </c>
      <c r="DC56" s="220">
        <v>4055602.2239999999</v>
      </c>
      <c r="DD56" s="209">
        <f t="shared" si="33"/>
        <v>-2.2239724987759332E-3</v>
      </c>
      <c r="DE56" s="209">
        <f t="shared" si="34"/>
        <v>2.3290187424536493E-3</v>
      </c>
      <c r="DF56" s="209">
        <f t="shared" si="75"/>
        <v>-1.8170750684659812E-3</v>
      </c>
      <c r="DG56" s="201">
        <f t="shared" si="77"/>
        <v>14923122200000</v>
      </c>
      <c r="DH56" s="201">
        <f t="shared" si="77"/>
        <v>34228508800000</v>
      </c>
      <c r="DI56" s="201">
        <f t="shared" si="77"/>
        <v>40556022240000</v>
      </c>
      <c r="DJ56" s="220">
        <v>8653152948756060</v>
      </c>
      <c r="DK56" s="220">
        <v>1150413211932240</v>
      </c>
      <c r="DL56" s="220">
        <v>9803566160688310</v>
      </c>
      <c r="DM56" s="220">
        <v>2315541089844910</v>
      </c>
      <c r="DN56" s="220">
        <v>86024606332768.797</v>
      </c>
      <c r="DO56" s="220">
        <v>2401565696177680</v>
      </c>
      <c r="DP56" s="220">
        <v>4995600848842740</v>
      </c>
      <c r="DQ56" s="220">
        <v>974810957881119</v>
      </c>
      <c r="DR56" s="220">
        <v>5970411806723860</v>
      </c>
      <c r="DS56" s="220">
        <v>657954071946211</v>
      </c>
      <c r="DT56" s="220">
        <v>81140436262842.5</v>
      </c>
      <c r="DU56" s="220">
        <v>739094508209054</v>
      </c>
      <c r="DV56" s="220">
        <v>1632066546873710</v>
      </c>
      <c r="DW56" s="220">
        <v>2229217938116.6802</v>
      </c>
      <c r="DX56" s="220">
        <v>1634295764811830</v>
      </c>
      <c r="DY56" s="220">
        <v>276197252128796</v>
      </c>
      <c r="DZ56" s="220">
        <v>4758269090820.2402</v>
      </c>
      <c r="EA56" s="220">
        <v>280955521219616</v>
      </c>
      <c r="EB56" s="220">
        <v>401026288741338</v>
      </c>
      <c r="EC56" s="220">
        <v>13434700677965.801</v>
      </c>
      <c r="ED56" s="220">
        <v>414460989419304</v>
      </c>
      <c r="EE56" s="212">
        <f t="shared" si="78"/>
        <v>2662.5391247543907</v>
      </c>
      <c r="EG56" s="212">
        <f t="shared" si="10"/>
        <v>0.16327365505730942</v>
      </c>
      <c r="EI56" s="212">
        <f t="shared" si="35"/>
        <v>0.16327365505730942</v>
      </c>
      <c r="EJ56" s="212">
        <v>0.30335731414868106</v>
      </c>
      <c r="EK56" s="212">
        <v>0.18447293447293447</v>
      </c>
      <c r="EL56" s="212">
        <v>7.6470588235294124E-2</v>
      </c>
      <c r="EM56" s="212">
        <v>0.27296937416777628</v>
      </c>
      <c r="EN56" s="212">
        <f t="shared" si="79"/>
        <v>2227.8166301226515</v>
      </c>
      <c r="EP56" s="212">
        <f t="shared" si="80"/>
        <v>434.72249463173887</v>
      </c>
      <c r="ER56" s="215">
        <f t="shared" si="13"/>
        <v>579.84869605611482</v>
      </c>
      <c r="ES56" s="209">
        <f t="shared" si="42"/>
        <v>-1.705849890946979</v>
      </c>
      <c r="EU56" s="215">
        <f t="shared" si="14"/>
        <v>579.84869605611482</v>
      </c>
      <c r="EV56" s="216">
        <f>data!EU56*conversions!$C$13</f>
        <v>0.67436403351326146</v>
      </c>
      <c r="EW56" s="217">
        <f t="shared" si="15"/>
        <v>2.9753229922063935E-2</v>
      </c>
      <c r="EX56" s="217"/>
      <c r="EZ56" s="217">
        <f t="shared" si="36"/>
        <v>2.9753229922063935E-2</v>
      </c>
      <c r="FA56" s="212">
        <f t="shared" si="16"/>
        <v>2.0127907658116295</v>
      </c>
      <c r="FD56" s="212">
        <f t="shared" si="37"/>
        <v>2.0127907658116295</v>
      </c>
      <c r="FE56" s="184">
        <f t="shared" si="17"/>
        <v>0.84735723457471546</v>
      </c>
      <c r="FG56" s="184">
        <f t="shared" si="38"/>
        <v>0.84735723457471546</v>
      </c>
      <c r="FH56" s="184">
        <f t="shared" si="18"/>
        <v>3.1918683717303407E-2</v>
      </c>
      <c r="FJ56" s="184">
        <f t="shared" si="39"/>
        <v>3.1918683717303407E-2</v>
      </c>
      <c r="FK56" s="184">
        <f t="shared" si="19"/>
        <v>4.6344527956019524E-2</v>
      </c>
      <c r="FM56" s="184">
        <f t="shared" si="40"/>
        <v>4.6344527956019524E-2</v>
      </c>
      <c r="FN56" s="218"/>
      <c r="FO56" s="218">
        <f t="shared" si="81"/>
        <v>974810957881119</v>
      </c>
      <c r="FP56" s="218">
        <f t="shared" si="21"/>
        <v>1150413211932240</v>
      </c>
      <c r="FQ56" s="218">
        <f t="shared" si="22"/>
        <v>34228508800000</v>
      </c>
      <c r="FR56" s="218">
        <f t="shared" si="23"/>
        <v>2315541089844910</v>
      </c>
      <c r="FS56" s="218">
        <f t="shared" si="24"/>
        <v>3993353965602.1294</v>
      </c>
      <c r="FT56" s="218">
        <f>intermediates!$B$69*data!EU56/intermediates!$B$71</f>
        <v>1.47590847681773</v>
      </c>
      <c r="FU56" s="218">
        <f>(Y56+W56)*conversions!$C$1*1000000</f>
        <v>606132821513.54846</v>
      </c>
      <c r="FV56" s="218">
        <f t="shared" si="41"/>
        <v>410684558720.37378</v>
      </c>
      <c r="FW56" s="221">
        <f t="shared" si="25"/>
        <v>837356364468.03284</v>
      </c>
      <c r="FX56" s="221">
        <f t="shared" si="26"/>
        <v>426671805747.65906</v>
      </c>
      <c r="FY56" s="221">
        <f>FX56*intermediates!$B$72*1000*ER56/(intermediates!$B$71*10000*1000000000)</f>
        <v>50.378282793767831</v>
      </c>
      <c r="FZ56" s="221">
        <f t="shared" si="82"/>
        <v>8.2002659048123778</v>
      </c>
      <c r="GA56" s="218"/>
      <c r="GB56" s="218"/>
      <c r="GC56" s="218">
        <f t="shared" si="83"/>
        <v>8615352389029.5879</v>
      </c>
      <c r="GD56" s="218">
        <f t="shared" si="29"/>
        <v>13446062719099.75</v>
      </c>
      <c r="GE56" s="218">
        <f t="shared" si="30"/>
        <v>14587746620713.447</v>
      </c>
      <c r="GF56" s="218">
        <f t="shared" si="31"/>
        <v>465621670534.71411</v>
      </c>
      <c r="GG56" s="218">
        <f t="shared" si="32"/>
        <v>676062231078.98364</v>
      </c>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188">
        <f t="shared" si="64"/>
        <v>2000</v>
      </c>
      <c r="HN56" s="185">
        <f t="shared" si="68"/>
        <v>2429.0937162540049</v>
      </c>
      <c r="HO56" s="185">
        <f t="shared" si="69"/>
        <v>5571.5053812817341</v>
      </c>
      <c r="HP56" s="185">
        <f t="shared" si="70"/>
        <v>6601.4589614123561</v>
      </c>
      <c r="IC56" s="185">
        <f t="shared" si="71"/>
        <v>8000.599097535739</v>
      </c>
    </row>
    <row r="57" spans="1:237" x14ac:dyDescent="0.3">
      <c r="A57" s="184">
        <v>2001</v>
      </c>
      <c r="B57" s="207">
        <v>6222626.5310000004</v>
      </c>
      <c r="C57" s="207">
        <v>1203731.112</v>
      </c>
      <c r="D57" s="207">
        <f t="shared" si="1"/>
        <v>5018895.4190000007</v>
      </c>
      <c r="H57" s="207">
        <f t="shared" si="5"/>
        <v>6222626531</v>
      </c>
      <c r="L57" s="187">
        <f t="shared" si="6"/>
        <v>6222626531</v>
      </c>
      <c r="M57" s="184">
        <v>9462.4938553563043</v>
      </c>
      <c r="N57" s="184">
        <v>5385.7089421631317</v>
      </c>
      <c r="O57" s="184">
        <v>4076.784913193178</v>
      </c>
      <c r="P57" s="184">
        <v>3735.9455169151761</v>
      </c>
      <c r="Q57" s="184">
        <v>2091.6115688575942</v>
      </c>
      <c r="R57" s="184">
        <v>2396.9223756166298</v>
      </c>
      <c r="S57" s="184">
        <v>600.48262408292351</v>
      </c>
      <c r="T57" s="184">
        <v>585.25577422620324</v>
      </c>
      <c r="U57" s="184">
        <v>0.3188382312419209</v>
      </c>
      <c r="V57" s="184">
        <v>8.6869138224972229</v>
      </c>
      <c r="W57" s="184">
        <v>43.270243604041248</v>
      </c>
      <c r="X57" s="184">
        <v>10898.384363815439</v>
      </c>
      <c r="Y57" s="184">
        <f t="shared" si="66"/>
        <v>10.89838436381544</v>
      </c>
      <c r="Z57" s="184">
        <v>6.9226207173081598</v>
      </c>
      <c r="AA57" s="184">
        <v>1.2720478934579651</v>
      </c>
      <c r="AB57" s="184">
        <f>Z57*conversions!$C$6/conversions!$C$8</f>
        <v>25.366093380796464</v>
      </c>
      <c r="AC57" s="184">
        <f>AA57*conversions!$C$6/conversions!$C$8</f>
        <v>4.6610795200184043</v>
      </c>
      <c r="AD57" s="184">
        <f t="shared" si="7"/>
        <v>30.027172900814868</v>
      </c>
      <c r="AE57" s="212">
        <f t="shared" si="43"/>
        <v>8824.9620854723253</v>
      </c>
      <c r="AF57" s="212">
        <f t="shared" si="44"/>
        <v>3.4025271281613407</v>
      </c>
      <c r="AG57" s="184">
        <f>M57*conversions!$C$1*1000000/data!L57</f>
        <v>17741.023199102794</v>
      </c>
      <c r="AH57" s="184">
        <f>N57*conversions!$C$1*1000/C57</f>
        <v>52198.759644507052</v>
      </c>
      <c r="AI57" s="184">
        <f>O57*conversions!$C$1*1000/D57</f>
        <v>9476.6849442336224</v>
      </c>
      <c r="AK57" s="192">
        <f t="shared" si="84"/>
        <v>17741.023199102794</v>
      </c>
      <c r="AL57" s="192">
        <f t="shared" si="85"/>
        <v>110395761645823.55</v>
      </c>
      <c r="AM57" s="192">
        <f>data!AL57/(1000000*conversions!$C$1)</f>
        <v>9462.4938553563043</v>
      </c>
      <c r="AN57" s="192">
        <f t="shared" si="47"/>
        <v>9462.4938553563043</v>
      </c>
      <c r="AO57" s="212">
        <f t="shared" si="72"/>
        <v>1.2228722425532055</v>
      </c>
      <c r="AP57" s="212">
        <f t="shared" si="76"/>
        <v>1.3157467221069705</v>
      </c>
      <c r="AQ57" s="212">
        <f t="shared" si="73"/>
        <v>1.7345597762255427E-4</v>
      </c>
      <c r="AR57" s="212">
        <f t="shared" si="96"/>
        <v>-15.437420768099742</v>
      </c>
      <c r="AS57" s="212">
        <f t="shared" si="74"/>
        <v>0.90739125245072749</v>
      </c>
      <c r="AT57" s="212">
        <f t="shared" si="86"/>
        <v>4.5728160319541827E-3</v>
      </c>
      <c r="AU57" s="212">
        <f t="shared" si="67"/>
        <v>1.1517454627086854E-3</v>
      </c>
      <c r="BR57" s="212" t="str">
        <f t="shared" si="87"/>
        <v/>
      </c>
      <c r="CD57" s="173">
        <f t="shared" si="63"/>
        <v>2001</v>
      </c>
      <c r="CE57" s="173">
        <f t="shared" si="88"/>
        <v>3735.9455169151761</v>
      </c>
      <c r="CF57" s="173">
        <f t="shared" si="89"/>
        <v>2091.6115688575942</v>
      </c>
      <c r="CG57" s="173">
        <f t="shared" si="90"/>
        <v>2396.9223756166298</v>
      </c>
      <c r="CH57" s="173">
        <f t="shared" si="91"/>
        <v>600.48262408292351</v>
      </c>
      <c r="CI57" s="173"/>
      <c r="CJ57" s="173">
        <f t="shared" si="92"/>
        <v>585.25577422620324</v>
      </c>
      <c r="CK57" s="173">
        <f t="shared" si="93"/>
        <v>54.168627967856686</v>
      </c>
      <c r="CL57" s="173">
        <v>0</v>
      </c>
      <c r="CM57" s="173">
        <f t="shared" si="65"/>
        <v>0.3188382312419209</v>
      </c>
      <c r="CN57" s="173">
        <f t="shared" si="62"/>
        <v>8.6869138224972229</v>
      </c>
      <c r="CO57" s="173"/>
      <c r="CP57" s="174"/>
      <c r="CQ57" s="174"/>
      <c r="CR57" s="174"/>
      <c r="CT57" s="190">
        <f t="shared" si="94"/>
        <v>4.8254820936504741</v>
      </c>
      <c r="CU57" s="190">
        <f t="shared" si="95"/>
        <v>30.027172900814865</v>
      </c>
      <c r="CV57" s="198">
        <f t="shared" si="59"/>
        <v>1629.4049785489321</v>
      </c>
      <c r="CW57" s="198">
        <f t="shared" si="60"/>
        <v>1629.4049785489321</v>
      </c>
      <c r="CX57" s="198">
        <v>1629.4049785489321</v>
      </c>
      <c r="CY57" s="198">
        <f t="shared" si="61"/>
        <v>0</v>
      </c>
      <c r="CZ57" s="199">
        <f>IF(CX57&lt;intermediates!$B$55,intermediates!$B$56+(CX57-intermediates!$B$55)*intermediates!$B$53,intermediates!$B$56+(data!CX57-intermediates!$B$55)*intermediates!$B$58)</f>
        <v>0.8551616908547035</v>
      </c>
      <c r="DA57" s="220">
        <v>1489241.4608</v>
      </c>
      <c r="DB57" s="220">
        <v>3421936.5</v>
      </c>
      <c r="DC57" s="220">
        <v>4051030.3163999999</v>
      </c>
      <c r="DD57" s="209">
        <f t="shared" si="33"/>
        <v>-1.9667500903310709E-3</v>
      </c>
      <c r="DE57" s="209">
        <f t="shared" si="34"/>
        <v>-2.7993313989301325E-4</v>
      </c>
      <c r="DF57" s="209">
        <f t="shared" si="75"/>
        <v>-1.1432245161424703E-3</v>
      </c>
      <c r="DG57" s="201">
        <f t="shared" si="77"/>
        <v>14892414608000</v>
      </c>
      <c r="DH57" s="201">
        <f t="shared" si="77"/>
        <v>34219365000000</v>
      </c>
      <c r="DI57" s="201">
        <f t="shared" si="77"/>
        <v>40510303164000</v>
      </c>
      <c r="DJ57" s="220">
        <v>8820702377569880</v>
      </c>
      <c r="DK57" s="220">
        <v>1161607909143000</v>
      </c>
      <c r="DL57" s="220">
        <v>9982310286712890</v>
      </c>
      <c r="DM57" s="220">
        <v>2396758550586430</v>
      </c>
      <c r="DN57" s="220">
        <v>81988989192829.703</v>
      </c>
      <c r="DO57" s="220">
        <v>2478747539779260</v>
      </c>
      <c r="DP57" s="220">
        <v>5053054510382290</v>
      </c>
      <c r="DQ57" s="220">
        <v>984997117319408</v>
      </c>
      <c r="DR57" s="220">
        <v>6038051627701700</v>
      </c>
      <c r="DS57" s="220">
        <v>755461975991589</v>
      </c>
      <c r="DT57" s="220">
        <v>84682633438962.297</v>
      </c>
      <c r="DU57" s="220">
        <v>840144609430551</v>
      </c>
      <c r="DV57" s="220">
        <v>1674783393914020</v>
      </c>
      <c r="DW57" s="220">
        <v>2025390549574.4099</v>
      </c>
      <c r="DX57" s="220">
        <v>1676808784463600</v>
      </c>
      <c r="DY57" s="220">
        <v>278738510949437</v>
      </c>
      <c r="DZ57" s="220">
        <v>4965036336731.4199</v>
      </c>
      <c r="EA57" s="220">
        <v>283703547286168</v>
      </c>
      <c r="EB57" s="220">
        <v>402845852449376</v>
      </c>
      <c r="EC57" s="220">
        <v>13767054773563.4</v>
      </c>
      <c r="ED57" s="220">
        <v>416612907222939</v>
      </c>
      <c r="EE57" s="212">
        <f t="shared" si="78"/>
        <v>2658.460557896326</v>
      </c>
      <c r="EG57" s="212">
        <f t="shared" si="10"/>
        <v>0.16313161563580955</v>
      </c>
      <c r="EI57" s="212">
        <f t="shared" si="35"/>
        <v>0.16313161563580955</v>
      </c>
      <c r="EJ57" s="212">
        <v>0.30597680642283676</v>
      </c>
      <c r="EK57" s="212">
        <v>0.18394886363636365</v>
      </c>
      <c r="EL57" s="212">
        <v>7.8439777111015865E-2</v>
      </c>
      <c r="EM57" s="212">
        <v>0.27299703264094954</v>
      </c>
      <c r="EN57" s="212">
        <f t="shared" si="79"/>
        <v>2224.7815919826216</v>
      </c>
      <c r="EP57" s="212">
        <f t="shared" si="80"/>
        <v>433.67896591370328</v>
      </c>
      <c r="ER57" s="215">
        <f t="shared" si="13"/>
        <v>592.29497766141435</v>
      </c>
      <c r="ES57" s="209">
        <f t="shared" si="42"/>
        <v>12.446281605299532</v>
      </c>
      <c r="EU57" s="215">
        <f t="shared" si="14"/>
        <v>592.29497766141435</v>
      </c>
      <c r="EV57" s="216">
        <f>data!EU57*conversions!$C$13</f>
        <v>0.68883905902022491</v>
      </c>
      <c r="EW57" s="217">
        <f t="shared" si="15"/>
        <v>2.9458619152521126E-2</v>
      </c>
      <c r="EX57" s="217"/>
      <c r="EZ57" s="217">
        <f t="shared" si="36"/>
        <v>2.9458619152521126E-2</v>
      </c>
      <c r="FA57" s="212">
        <f t="shared" si="16"/>
        <v>2.0633111497619603</v>
      </c>
      <c r="FD57" s="212">
        <f t="shared" si="37"/>
        <v>2.0633111497619603</v>
      </c>
      <c r="FE57" s="184">
        <f t="shared" si="17"/>
        <v>0.84796006429235637</v>
      </c>
      <c r="FG57" s="184">
        <f t="shared" si="38"/>
        <v>0.84796006429235637</v>
      </c>
      <c r="FH57" s="184">
        <f t="shared" si="18"/>
        <v>3.1600489282830782E-2</v>
      </c>
      <c r="FJ57" s="184">
        <f t="shared" si="39"/>
        <v>3.1600489282830782E-2</v>
      </c>
      <c r="FK57" s="184">
        <f t="shared" si="19"/>
        <v>4.5670495977029074E-2</v>
      </c>
      <c r="FM57" s="184">
        <f t="shared" si="40"/>
        <v>4.5670495977029074E-2</v>
      </c>
      <c r="FN57" s="218"/>
      <c r="FO57" s="218">
        <f t="shared" si="81"/>
        <v>984997117319408</v>
      </c>
      <c r="FP57" s="218">
        <f t="shared" si="21"/>
        <v>1161607909143000</v>
      </c>
      <c r="FQ57" s="218">
        <f t="shared" si="22"/>
        <v>34219365000000</v>
      </c>
      <c r="FR57" s="218">
        <f t="shared" si="23"/>
        <v>2396758550586430</v>
      </c>
      <c r="FS57" s="218">
        <f t="shared" si="24"/>
        <v>4046562339680.2427</v>
      </c>
      <c r="FT57" s="218">
        <f>intermediates!$B$69*data!EU57/intermediates!$B$71</f>
        <v>1.5075884178972982</v>
      </c>
      <c r="FU57" s="218">
        <f>(Y57+W57)*conversions!$C$1*1000000</f>
        <v>631967326291.66138</v>
      </c>
      <c r="FV57" s="218">
        <f t="shared" si="41"/>
        <v>419190887107.69934</v>
      </c>
      <c r="FW57" s="221">
        <f t="shared" si="25"/>
        <v>961451445750.56116</v>
      </c>
      <c r="FX57" s="221">
        <f t="shared" si="26"/>
        <v>542260558642.86182</v>
      </c>
      <c r="FY57" s="221">
        <f>FX57*intermediates!$B$72*1000*ER57/(intermediates!$B$71*10000*1000000000)</f>
        <v>65.40045901539979</v>
      </c>
      <c r="FZ57" s="221">
        <f t="shared" si="82"/>
        <v>10.510105128370878</v>
      </c>
      <c r="GA57" s="218"/>
      <c r="GB57" s="218"/>
      <c r="GC57" s="218">
        <f t="shared" si="83"/>
        <v>8531314127182.876</v>
      </c>
      <c r="GD57" s="218">
        <f t="shared" si="29"/>
        <v>13539327912613.68</v>
      </c>
      <c r="GE57" s="218">
        <f t="shared" si="30"/>
        <v>14673135553699.521</v>
      </c>
      <c r="GF57" s="218">
        <f t="shared" si="31"/>
        <v>463678262810.20502</v>
      </c>
      <c r="GG57" s="218">
        <f t="shared" si="32"/>
        <v>670129378275.63623</v>
      </c>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188">
        <f t="shared" si="64"/>
        <v>2001</v>
      </c>
      <c r="HN57" s="185">
        <f t="shared" si="68"/>
        <v>2393.268266030218</v>
      </c>
      <c r="HO57" s="185">
        <f t="shared" si="69"/>
        <v>5499.1834765472931</v>
      </c>
      <c r="HP57" s="185">
        <f t="shared" si="70"/>
        <v>6510.1614185239941</v>
      </c>
      <c r="IC57" s="185">
        <f t="shared" si="71"/>
        <v>7892.4517425775102</v>
      </c>
    </row>
    <row r="58" spans="1:237" x14ac:dyDescent="0.3">
      <c r="A58" s="211">
        <v>2002</v>
      </c>
      <c r="B58" s="207">
        <v>6301773.17199999</v>
      </c>
      <c r="C58" s="207">
        <v>1212584.8139999998</v>
      </c>
      <c r="D58" s="207">
        <f t="shared" si="1"/>
        <v>5089188.3579999898</v>
      </c>
      <c r="H58" s="207">
        <f t="shared" si="5"/>
        <v>6301773171.9999905</v>
      </c>
      <c r="L58" s="187">
        <f t="shared" si="6"/>
        <v>6301773171.9999905</v>
      </c>
      <c r="M58" s="184">
        <v>9676.544170863137</v>
      </c>
      <c r="N58" s="184">
        <v>5436.8761602899131</v>
      </c>
      <c r="O58" s="184">
        <v>4239.6680105732239</v>
      </c>
      <c r="P58" s="184">
        <v>3768.3016565292969</v>
      </c>
      <c r="Q58" s="184">
        <v>2153.578013421678</v>
      </c>
      <c r="R58" s="184">
        <v>2489.8492546152484</v>
      </c>
      <c r="S58" s="184">
        <v>610.07703369323065</v>
      </c>
      <c r="T58" s="184">
        <v>595.91567788713485</v>
      </c>
      <c r="U58" s="184">
        <v>0.40172220902196309</v>
      </c>
      <c r="V58" s="184">
        <v>11.841371446702651</v>
      </c>
      <c r="W58" s="184">
        <v>46.57944106082207</v>
      </c>
      <c r="X58" s="184">
        <v>12852.417782320088</v>
      </c>
      <c r="Y58" s="184">
        <f t="shared" si="66"/>
        <v>12.852417782320089</v>
      </c>
      <c r="Z58" s="184">
        <v>7.0740758547469405</v>
      </c>
      <c r="AA58" s="184">
        <v>1.4607478359042845</v>
      </c>
      <c r="AB58" s="184">
        <f>Z58*conversions!$C$6/conversions!$C$8</f>
        <v>25.921060251893135</v>
      </c>
      <c r="AC58" s="184">
        <f>AA58*conversions!$C$6/conversions!$C$8</f>
        <v>5.3525200244904596</v>
      </c>
      <c r="AD58" s="184">
        <f t="shared" si="7"/>
        <v>31.273580276383594</v>
      </c>
      <c r="AE58" s="212">
        <f t="shared" si="43"/>
        <v>9021.8059582594542</v>
      </c>
      <c r="AF58" s="212">
        <f t="shared" si="44"/>
        <v>3.4664434616610946</v>
      </c>
      <c r="AG58" s="184">
        <f>M58*conversions!$C$1*1000000/data!L58</f>
        <v>17914.484105575604</v>
      </c>
      <c r="AH58" s="184">
        <f>N58*conversions!$C$1*1000/C58</f>
        <v>52309.925984318819</v>
      </c>
      <c r="AI58" s="184">
        <f>O58*conversions!$C$1*1000/D58</f>
        <v>9719.1909548669337</v>
      </c>
      <c r="AK58" s="192">
        <f t="shared" si="84"/>
        <v>17914.484105575604</v>
      </c>
      <c r="AL58" s="192">
        <f t="shared" si="85"/>
        <v>112893015326736.59</v>
      </c>
      <c r="AM58" s="192">
        <f>data!AL58/(1000000*conversions!$C$1)</f>
        <v>9676.544170863137</v>
      </c>
      <c r="AN58" s="192">
        <f t="shared" si="47"/>
        <v>9676.544170863137</v>
      </c>
      <c r="AO58" s="212">
        <f t="shared" si="72"/>
        <v>1.3594748759090409</v>
      </c>
      <c r="AP58" s="212">
        <f t="shared" si="76"/>
        <v>1.3218428430968738</v>
      </c>
      <c r="AQ58" s="212">
        <f t="shared" si="73"/>
        <v>3.3455555463006822E-4</v>
      </c>
      <c r="AR58" s="212">
        <f t="shared" si="96"/>
        <v>10.659903660931604</v>
      </c>
      <c r="AS58" s="212">
        <f t="shared" si="74"/>
        <v>1.9540334185046486</v>
      </c>
      <c r="AT58" s="212">
        <f t="shared" si="86"/>
        <v>4.8136442347957824E-3</v>
      </c>
      <c r="AU58" s="212">
        <f t="shared" si="67"/>
        <v>1.3282032878039007E-3</v>
      </c>
      <c r="BR58" s="212" t="str">
        <f t="shared" si="87"/>
        <v/>
      </c>
      <c r="CD58" s="173">
        <f t="shared" si="63"/>
        <v>2002</v>
      </c>
      <c r="CE58" s="173">
        <f t="shared" si="88"/>
        <v>3768.3016565292969</v>
      </c>
      <c r="CF58" s="173">
        <f t="shared" si="89"/>
        <v>2153.578013421678</v>
      </c>
      <c r="CG58" s="173">
        <f t="shared" si="90"/>
        <v>2489.8492546152484</v>
      </c>
      <c r="CH58" s="173">
        <f t="shared" si="91"/>
        <v>610.07703369323065</v>
      </c>
      <c r="CI58" s="173"/>
      <c r="CJ58" s="173">
        <f t="shared" si="92"/>
        <v>595.91567788713485</v>
      </c>
      <c r="CK58" s="173">
        <f t="shared" si="93"/>
        <v>59.431858843142159</v>
      </c>
      <c r="CL58" s="173">
        <v>0</v>
      </c>
      <c r="CM58" s="173">
        <f t="shared" si="65"/>
        <v>0.40172220902196309</v>
      </c>
      <c r="CN58" s="173">
        <f t="shared" si="62"/>
        <v>11.841371446702651</v>
      </c>
      <c r="CO58" s="173"/>
      <c r="CP58" s="174"/>
      <c r="CQ58" s="174"/>
      <c r="CR58" s="174"/>
      <c r="CT58" s="190">
        <f t="shared" si="94"/>
        <v>4.9626635905173835</v>
      </c>
      <c r="CU58" s="190">
        <f t="shared" si="95"/>
        <v>31.273580276383594</v>
      </c>
      <c r="CV58" s="198">
        <f t="shared" si="59"/>
        <v>1660.6785588253153</v>
      </c>
      <c r="CW58" s="198">
        <f t="shared" si="60"/>
        <v>1660.6785588253153</v>
      </c>
      <c r="CX58" s="198">
        <v>1660.6785588253153</v>
      </c>
      <c r="CY58" s="198">
        <f t="shared" si="61"/>
        <v>0</v>
      </c>
      <c r="CZ58" s="199">
        <f>IF(CX58&lt;intermediates!$B$55,intermediates!$B$56+(CX58-intermediates!$B$55)*intermediates!$B$53,intermediates!$B$56+(data!CX58-intermediates!$B$55)*intermediates!$B$58)</f>
        <v>0.87216825435520096</v>
      </c>
      <c r="DA58" s="220">
        <v>1485508.53</v>
      </c>
      <c r="DB58" s="220">
        <v>3412348.42</v>
      </c>
      <c r="DC58" s="220">
        <v>4046458.4087999999</v>
      </c>
      <c r="DD58" s="209">
        <f t="shared" si="33"/>
        <v>-2.3908556516250615E-3</v>
      </c>
      <c r="DE58" s="209">
        <f t="shared" si="34"/>
        <v>-2.9353456330472576E-3</v>
      </c>
      <c r="DF58" s="209">
        <f t="shared" si="75"/>
        <v>-1.1432245161424703E-3</v>
      </c>
      <c r="DG58" s="201">
        <f t="shared" si="77"/>
        <v>14855085300000</v>
      </c>
      <c r="DH58" s="201">
        <f t="shared" si="77"/>
        <v>34123484200000</v>
      </c>
      <c r="DI58" s="201">
        <f t="shared" si="77"/>
        <v>40464584088000</v>
      </c>
      <c r="DJ58" s="220">
        <v>8687259210583170</v>
      </c>
      <c r="DK58" s="220">
        <v>1193717891026620</v>
      </c>
      <c r="DL58" s="220">
        <v>9880977101609790</v>
      </c>
      <c r="DM58" s="220">
        <v>2367203603047240</v>
      </c>
      <c r="DN58" s="220">
        <v>82247282693815.5</v>
      </c>
      <c r="DO58" s="220">
        <v>2449450885741050</v>
      </c>
      <c r="DP58" s="220">
        <v>5104118602613480</v>
      </c>
      <c r="DQ58" s="220">
        <v>1013543616413240</v>
      </c>
      <c r="DR58" s="220">
        <v>6117662219026720</v>
      </c>
      <c r="DS58" s="220">
        <v>901178199454378</v>
      </c>
      <c r="DT58" s="220">
        <v>79288039519533.5</v>
      </c>
      <c r="DU58" s="220">
        <v>980466238973912</v>
      </c>
      <c r="DV58" s="220">
        <v>1736043555602220</v>
      </c>
      <c r="DW58" s="220">
        <v>2675226634756.6899</v>
      </c>
      <c r="DX58" s="220">
        <v>1738718782236970</v>
      </c>
      <c r="DY58" s="220">
        <v>272728937856752</v>
      </c>
      <c r="DZ58" s="220">
        <v>5073222311427.0195</v>
      </c>
      <c r="EA58" s="220">
        <v>277802160168179</v>
      </c>
      <c r="EB58" s="220">
        <v>391540723489966</v>
      </c>
      <c r="EC58" s="220">
        <v>14142742856577.801</v>
      </c>
      <c r="ED58" s="220">
        <v>405683466346544</v>
      </c>
      <c r="EE58" s="212">
        <f t="shared" si="78"/>
        <v>2659.6829100043665</v>
      </c>
      <c r="EG58" s="212">
        <f t="shared" si="10"/>
        <v>0.16567498827591173</v>
      </c>
      <c r="EI58" s="212">
        <f t="shared" si="35"/>
        <v>0.16567498827591173</v>
      </c>
      <c r="EJ58" s="212">
        <v>0.30580682812955939</v>
      </c>
      <c r="EK58" s="212">
        <v>0.18679378531073446</v>
      </c>
      <c r="EL58" s="212">
        <v>7.9649890590809624E-2</v>
      </c>
      <c r="EM58" s="212">
        <v>0.27438540840602699</v>
      </c>
      <c r="EN58" s="212">
        <f t="shared" si="79"/>
        <v>2219.0399750717506</v>
      </c>
      <c r="EP58" s="212">
        <f t="shared" si="80"/>
        <v>440.64293493261624</v>
      </c>
      <c r="ER58" s="215">
        <f t="shared" si="13"/>
        <v>584.80035860737667</v>
      </c>
      <c r="ES58" s="209">
        <f t="shared" si="42"/>
        <v>-7.4946190540376847</v>
      </c>
      <c r="EU58" s="215">
        <f t="shared" si="14"/>
        <v>584.80035860737667</v>
      </c>
      <c r="EV58" s="216">
        <f>data!EU58*conversions!$C$13</f>
        <v>0.68012281706037903</v>
      </c>
      <c r="EW58" s="217">
        <f t="shared" si="15"/>
        <v>2.8585886545315291E-2</v>
      </c>
      <c r="EX58" s="217"/>
      <c r="EZ58" s="217">
        <f t="shared" si="36"/>
        <v>2.8585886545315291E-2</v>
      </c>
      <c r="FA58" s="212">
        <f t="shared" si="16"/>
        <v>1.9830511219123976</v>
      </c>
      <c r="FD58" s="212">
        <f t="shared" si="37"/>
        <v>1.9830511219123976</v>
      </c>
      <c r="FE58" s="184">
        <f t="shared" si="17"/>
        <v>0.84906461068584071</v>
      </c>
      <c r="FG58" s="184">
        <f t="shared" si="38"/>
        <v>0.84906461068584071</v>
      </c>
      <c r="FH58" s="184">
        <f t="shared" si="18"/>
        <v>3.1394129177647029E-2</v>
      </c>
      <c r="FJ58" s="184">
        <f t="shared" si="39"/>
        <v>3.1394129177647029E-2</v>
      </c>
      <c r="FK58" s="184">
        <f t="shared" si="19"/>
        <v>4.5070685011099391E-2</v>
      </c>
      <c r="FM58" s="184">
        <f t="shared" si="40"/>
        <v>4.5070685011099391E-2</v>
      </c>
      <c r="FN58" s="218"/>
      <c r="FO58" s="218">
        <f t="shared" si="81"/>
        <v>1013543616413239.9</v>
      </c>
      <c r="FP58" s="218">
        <f t="shared" si="21"/>
        <v>1193717891026620</v>
      </c>
      <c r="FQ58" s="218">
        <f t="shared" si="22"/>
        <v>34123484200000</v>
      </c>
      <c r="FR58" s="218">
        <f t="shared" si="23"/>
        <v>2367203603047240</v>
      </c>
      <c r="FS58" s="218">
        <f t="shared" si="24"/>
        <v>4047883295907.0283</v>
      </c>
      <c r="FT58" s="218">
        <f>intermediates!$B$69*data!EU58/intermediates!$B$71</f>
        <v>1.4885121108061403</v>
      </c>
      <c r="FU58" s="218">
        <f>(Y58+W58)*conversions!$C$1*1000000</f>
        <v>693371686503.32507</v>
      </c>
      <c r="FV58" s="218">
        <f t="shared" si="41"/>
        <v>465815280554.09143</v>
      </c>
      <c r="FW58" s="221">
        <f t="shared" si="25"/>
        <v>1146899659121.8853</v>
      </c>
      <c r="FX58" s="221">
        <f t="shared" si="26"/>
        <v>681084378567.79382</v>
      </c>
      <c r="FY58" s="221">
        <f>FX58*intermediates!$B$72*1000*ER58/(intermediates!$B$71*10000*1000000000)</f>
        <v>81.10418767832283</v>
      </c>
      <c r="FZ58" s="221">
        <f t="shared" si="82"/>
        <v>12.870058230385787</v>
      </c>
      <c r="GA58" s="218"/>
      <c r="GB58" s="218"/>
      <c r="GC58" s="218">
        <f t="shared" si="83"/>
        <v>8727967634575.7578</v>
      </c>
      <c r="GD58" s="218">
        <f t="shared" si="29"/>
        <v>13922750589604.672</v>
      </c>
      <c r="GE58" s="218">
        <f t="shared" si="30"/>
        <v>15075495556105.555</v>
      </c>
      <c r="GF58" s="218">
        <f t="shared" si="31"/>
        <v>473282054905.42151</v>
      </c>
      <c r="GG58" s="218">
        <f t="shared" si="32"/>
        <v>679462911595.46216</v>
      </c>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188">
        <f t="shared" si="64"/>
        <v>2002</v>
      </c>
      <c r="HN58" s="185">
        <f t="shared" si="68"/>
        <v>2357.2865754680042</v>
      </c>
      <c r="HO58" s="185">
        <f t="shared" si="69"/>
        <v>5414.9020075202498</v>
      </c>
      <c r="HP58" s="185">
        <f t="shared" si="70"/>
        <v>6421.142586945537</v>
      </c>
      <c r="IC58" s="185">
        <f t="shared" si="71"/>
        <v>7772.188582988254</v>
      </c>
    </row>
    <row r="59" spans="1:237" x14ac:dyDescent="0.3">
      <c r="A59" s="184">
        <v>2003</v>
      </c>
      <c r="B59" s="207">
        <v>6381185.1409999998</v>
      </c>
      <c r="C59" s="207">
        <v>1221506.6260000002</v>
      </c>
      <c r="D59" s="207">
        <f t="shared" si="1"/>
        <v>5159678.5149999997</v>
      </c>
      <c r="H59" s="207">
        <f t="shared" si="5"/>
        <v>6381185141</v>
      </c>
      <c r="L59" s="187">
        <f t="shared" si="6"/>
        <v>6381185141</v>
      </c>
      <c r="M59" s="184">
        <v>10031.562332610431</v>
      </c>
      <c r="N59" s="184">
        <v>5489.8662791145152</v>
      </c>
      <c r="O59" s="184">
        <v>4541.6960534959107</v>
      </c>
      <c r="P59" s="184">
        <v>3853.1497726017251</v>
      </c>
      <c r="Q59" s="184">
        <v>2212.8436430261058</v>
      </c>
      <c r="R59" s="184">
        <v>2709.1169005135653</v>
      </c>
      <c r="S59" s="184">
        <v>597.72357004593573</v>
      </c>
      <c r="T59" s="184">
        <v>594.79097542577779</v>
      </c>
      <c r="U59" s="184">
        <v>0.51345955440662117</v>
      </c>
      <c r="V59" s="184">
        <v>14.236531448722426</v>
      </c>
      <c r="W59" s="184">
        <v>49.187479994186759</v>
      </c>
      <c r="X59" s="184">
        <v>15889.506734350709</v>
      </c>
      <c r="Y59" s="184">
        <f t="shared" si="66"/>
        <v>15.889506734350709</v>
      </c>
      <c r="Z59" s="184">
        <v>7.4148367421892365</v>
      </c>
      <c r="AA59" s="184">
        <v>1.5195797441245422</v>
      </c>
      <c r="AB59" s="184">
        <f>Z59*conversions!$C$6/conversions!$C$8</f>
        <v>27.169687447338482</v>
      </c>
      <c r="AC59" s="184">
        <f>AA59*conversions!$C$6/conversions!$C$8</f>
        <v>5.5680938279135361</v>
      </c>
      <c r="AD59" s="184">
        <f t="shared" si="7"/>
        <v>32.737781275252019</v>
      </c>
      <c r="AE59" s="212">
        <f t="shared" si="43"/>
        <v>9372.8338861873308</v>
      </c>
      <c r="AF59" s="212">
        <f t="shared" si="44"/>
        <v>3.4928370301641025</v>
      </c>
      <c r="AG59" s="184">
        <f>M59*conversions!$C$1*1000000/data!L59</f>
        <v>18340.620322781357</v>
      </c>
      <c r="AH59" s="184">
        <f>N59*conversions!$C$1*1000/C59</f>
        <v>52433.968477713905</v>
      </c>
      <c r="AI59" s="184">
        <f>O59*conversions!$C$1*1000/D59</f>
        <v>10269.332440657361</v>
      </c>
      <c r="AK59" s="192">
        <f t="shared" si="84"/>
        <v>18340.620322781357</v>
      </c>
      <c r="AL59" s="192">
        <f t="shared" si="85"/>
        <v>117034893880455.02</v>
      </c>
      <c r="AM59" s="192">
        <f>data!AL59/(1000000*conversions!$C$1)</f>
        <v>10031.562332610431</v>
      </c>
      <c r="AN59" s="192">
        <f t="shared" si="47"/>
        <v>10031.562332610431</v>
      </c>
      <c r="AO59" s="212">
        <f t="shared" si="72"/>
        <v>1.2047601217386963</v>
      </c>
      <c r="AP59" s="212">
        <f t="shared" si="76"/>
        <v>1.2734998140645835</v>
      </c>
      <c r="AQ59" s="212">
        <f t="shared" si="73"/>
        <v>2.4990098892722364E-4</v>
      </c>
      <c r="AR59" s="212">
        <f t="shared" si="96"/>
        <v>-1.1247024613570602</v>
      </c>
      <c r="AS59" s="212">
        <f t="shared" si="74"/>
        <v>3.0370889520306203</v>
      </c>
      <c r="AT59" s="212">
        <f t="shared" si="86"/>
        <v>4.9032721288376933E-3</v>
      </c>
      <c r="AU59" s="212">
        <f t="shared" si="67"/>
        <v>1.5839513534893137E-3</v>
      </c>
      <c r="BR59" s="212" t="str">
        <f t="shared" si="87"/>
        <v/>
      </c>
      <c r="CD59" s="173">
        <f t="shared" si="63"/>
        <v>2003</v>
      </c>
      <c r="CE59" s="173">
        <f t="shared" si="88"/>
        <v>3853.1497726017251</v>
      </c>
      <c r="CF59" s="173">
        <f t="shared" si="89"/>
        <v>2212.8436430261058</v>
      </c>
      <c r="CG59" s="173">
        <f t="shared" si="90"/>
        <v>2709.1169005135653</v>
      </c>
      <c r="CH59" s="173">
        <f t="shared" si="91"/>
        <v>597.72357004593573</v>
      </c>
      <c r="CI59" s="173"/>
      <c r="CJ59" s="173">
        <f t="shared" si="92"/>
        <v>594.79097542577779</v>
      </c>
      <c r="CK59" s="173">
        <f t="shared" si="93"/>
        <v>65.076986728537463</v>
      </c>
      <c r="CL59" s="173">
        <v>0</v>
      </c>
      <c r="CM59" s="173">
        <f t="shared" si="65"/>
        <v>0.51345955440662117</v>
      </c>
      <c r="CN59" s="173">
        <f t="shared" si="62"/>
        <v>14.236531448722426</v>
      </c>
      <c r="CO59" s="173"/>
      <c r="CP59" s="174"/>
      <c r="CQ59" s="174"/>
      <c r="CR59" s="174"/>
      <c r="CT59" s="190">
        <f t="shared" si="94"/>
        <v>5.1303606699807585</v>
      </c>
      <c r="CU59" s="190">
        <f t="shared" si="95"/>
        <v>32.737781275252019</v>
      </c>
      <c r="CV59" s="198">
        <f t="shared" si="59"/>
        <v>1693.4163401005674</v>
      </c>
      <c r="CW59" s="198">
        <f t="shared" si="60"/>
        <v>1693.4163401005674</v>
      </c>
      <c r="CX59" s="198">
        <v>1693.4163401005674</v>
      </c>
      <c r="CY59" s="198">
        <f t="shared" si="61"/>
        <v>0</v>
      </c>
      <c r="CZ59" s="199">
        <f>IF(CX59&lt;intermediates!$B$55,intermediates!$B$56+(CX59-intermediates!$B$55)*intermediates!$B$53,intermediates!$B$56+(data!CX59-intermediates!$B$55)*intermediates!$B$58)</f>
        <v>0.88997104991626497</v>
      </c>
      <c r="DA59" s="220">
        <v>1490154.68</v>
      </c>
      <c r="DB59" s="220">
        <v>3391712.63</v>
      </c>
      <c r="DC59" s="220">
        <v>4041886.5011999998</v>
      </c>
      <c r="DD59" s="209">
        <f t="shared" si="33"/>
        <v>2.9757513816751273E-3</v>
      </c>
      <c r="DE59" s="209">
        <f t="shared" si="34"/>
        <v>-6.3175501310981869E-3</v>
      </c>
      <c r="DF59" s="209">
        <f t="shared" si="75"/>
        <v>-1.1432245161424703E-3</v>
      </c>
      <c r="DG59" s="201">
        <f t="shared" si="77"/>
        <v>14901546800000</v>
      </c>
      <c r="DH59" s="201">
        <f t="shared" si="77"/>
        <v>33917126300000</v>
      </c>
      <c r="DI59" s="201">
        <f t="shared" si="77"/>
        <v>40418865012000</v>
      </c>
      <c r="DJ59" s="220">
        <v>8957430687540580</v>
      </c>
      <c r="DK59" s="220">
        <v>1215519060145670</v>
      </c>
      <c r="DL59" s="220">
        <v>1.01729497476862E+16</v>
      </c>
      <c r="DM59" s="220">
        <v>2382514258743590</v>
      </c>
      <c r="DN59" s="220">
        <v>79918190320795.906</v>
      </c>
      <c r="DO59" s="220">
        <v>2462432449064390</v>
      </c>
      <c r="DP59" s="220">
        <v>5166085929274520</v>
      </c>
      <c r="DQ59" s="220">
        <v>1038013832330780</v>
      </c>
      <c r="DR59" s="220">
        <v>6204099761605310</v>
      </c>
      <c r="DS59" s="220">
        <v>954623450658502</v>
      </c>
      <c r="DT59" s="220">
        <v>84439430492772.406</v>
      </c>
      <c r="DU59" s="220">
        <v>1039062881151270</v>
      </c>
      <c r="DV59" s="220">
        <v>1779979897064400</v>
      </c>
      <c r="DW59" s="220">
        <v>2671016588655.7598</v>
      </c>
      <c r="DX59" s="220">
        <v>1782650913653050</v>
      </c>
      <c r="DY59" s="220">
        <v>281544817211089</v>
      </c>
      <c r="DZ59" s="220">
        <v>5161406382089.9199</v>
      </c>
      <c r="EA59" s="220">
        <v>286706223593179</v>
      </c>
      <c r="EB59" s="220">
        <v>396355088903079</v>
      </c>
      <c r="EC59" s="220">
        <v>14467350139697.9</v>
      </c>
      <c r="ED59" s="220">
        <v>410822439042777</v>
      </c>
      <c r="EE59" s="212">
        <f t="shared" si="78"/>
        <v>2663.6954136039235</v>
      </c>
      <c r="EG59" s="212">
        <f t="shared" si="10"/>
        <v>0.16731095118015865</v>
      </c>
      <c r="EI59" s="212">
        <f t="shared" si="35"/>
        <v>0.16731095118015865</v>
      </c>
      <c r="EJ59" s="212">
        <v>0.31356932153392331</v>
      </c>
      <c r="EK59" s="212">
        <v>0.19625838333921639</v>
      </c>
      <c r="EL59" s="212">
        <v>8.0192813321647682E-2</v>
      </c>
      <c r="EM59" s="212">
        <v>0.27588032830288589</v>
      </c>
      <c r="EN59" s="212">
        <f t="shared" si="79"/>
        <v>2218.0300002996205</v>
      </c>
      <c r="EP59" s="212">
        <f t="shared" si="80"/>
        <v>445.66541330429857</v>
      </c>
      <c r="ER59" s="215">
        <f t="shared" si="13"/>
        <v>601.10744258713999</v>
      </c>
      <c r="ES59" s="209">
        <f t="shared" si="42"/>
        <v>16.30708397976332</v>
      </c>
      <c r="EU59" s="215">
        <f t="shared" si="14"/>
        <v>601.10744258713999</v>
      </c>
      <c r="EV59" s="216">
        <f>data!EU59*conversions!$C$13</f>
        <v>0.69908795572884375</v>
      </c>
      <c r="EW59" s="217">
        <f t="shared" si="15"/>
        <v>2.790340967251909E-2</v>
      </c>
      <c r="EX59" s="217"/>
      <c r="EZ59" s="217">
        <f t="shared" si="36"/>
        <v>2.790340967251909E-2</v>
      </c>
      <c r="FA59" s="212">
        <f t="shared" si="16"/>
        <v>1.9600797197355879</v>
      </c>
      <c r="FD59" s="212">
        <f t="shared" si="37"/>
        <v>1.9600797197355879</v>
      </c>
      <c r="FE59" s="184">
        <f t="shared" si="17"/>
        <v>0.85396754881522186</v>
      </c>
      <c r="FG59" s="184">
        <f t="shared" si="38"/>
        <v>0.85396754881522186</v>
      </c>
      <c r="FH59" s="184">
        <f t="shared" si="18"/>
        <v>3.143142571035535E-2</v>
      </c>
      <c r="FJ59" s="184">
        <f t="shared" si="39"/>
        <v>3.143142571035535E-2</v>
      </c>
      <c r="FK59" s="184">
        <f t="shared" si="19"/>
        <v>4.424874751801236E-2</v>
      </c>
      <c r="FM59" s="184">
        <f t="shared" si="40"/>
        <v>4.424874751801236E-2</v>
      </c>
      <c r="FN59" s="218"/>
      <c r="FO59" s="218">
        <f t="shared" si="81"/>
        <v>1038013832330780</v>
      </c>
      <c r="FP59" s="218">
        <f t="shared" si="21"/>
        <v>1215519060145670</v>
      </c>
      <c r="FQ59" s="218">
        <f t="shared" si="22"/>
        <v>33917126300000</v>
      </c>
      <c r="FR59" s="218">
        <f t="shared" si="23"/>
        <v>2382514258743590</v>
      </c>
      <c r="FS59" s="218">
        <f t="shared" si="24"/>
        <v>3963541440261.251</v>
      </c>
      <c r="FT59" s="218">
        <f>intermediates!$B$69*data!EU59/intermediates!$B$71</f>
        <v>1.5300190826103541</v>
      </c>
      <c r="FU59" s="218">
        <f>(Y59+W59)*conversions!$C$1*1000000</f>
        <v>759231511832.93701</v>
      </c>
      <c r="FV59" s="218">
        <f t="shared" si="41"/>
        <v>496223557249.76831</v>
      </c>
      <c r="FW59" s="221">
        <f t="shared" si="25"/>
        <v>1214917660916.4312</v>
      </c>
      <c r="FX59" s="221">
        <f t="shared" si="26"/>
        <v>718694103666.66284</v>
      </c>
      <c r="FY59" s="221">
        <f>FX59*intermediates!$B$72*1000*ER59/(intermediates!$B$71*10000*1000000000)</f>
        <v>87.969255453563079</v>
      </c>
      <c r="FZ59" s="221">
        <f t="shared" si="82"/>
        <v>13.785723734663081</v>
      </c>
      <c r="GA59" s="218"/>
      <c r="GB59" s="218"/>
      <c r="GC59" s="218">
        <f t="shared" si="83"/>
        <v>8594280428536.8906</v>
      </c>
      <c r="GD59" s="218">
        <f t="shared" si="29"/>
        <v>13772739529714.574</v>
      </c>
      <c r="GE59" s="218">
        <f t="shared" si="30"/>
        <v>14900404741742.434</v>
      </c>
      <c r="GF59" s="218">
        <f t="shared" si="31"/>
        <v>468340964694.30389</v>
      </c>
      <c r="GG59" s="218">
        <f t="shared" si="32"/>
        <v>659324247333.55505</v>
      </c>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188">
        <f t="shared" si="64"/>
        <v>2003</v>
      </c>
      <c r="HN59" s="185">
        <f t="shared" si="68"/>
        <v>2335.231852819235</v>
      </c>
      <c r="HO59" s="185">
        <f t="shared" si="69"/>
        <v>5315.1766561477361</v>
      </c>
      <c r="HP59" s="185">
        <f t="shared" si="70"/>
        <v>6334.0686908303578</v>
      </c>
      <c r="IC59" s="185">
        <f t="shared" si="71"/>
        <v>7650.4085089669707</v>
      </c>
    </row>
    <row r="60" spans="1:237" x14ac:dyDescent="0.3">
      <c r="A60" s="211">
        <v>2004</v>
      </c>
      <c r="B60" s="207">
        <v>6461159.3909999998</v>
      </c>
      <c r="C60" s="207">
        <v>1230530.4309999996</v>
      </c>
      <c r="D60" s="207">
        <f t="shared" si="1"/>
        <v>5230628.96</v>
      </c>
      <c r="H60" s="207">
        <f t="shared" si="5"/>
        <v>6461159391</v>
      </c>
      <c r="L60" s="187">
        <f t="shared" si="6"/>
        <v>6461159391</v>
      </c>
      <c r="M60" s="184">
        <v>10524.14346998029</v>
      </c>
      <c r="N60" s="184">
        <v>5593.6239570341722</v>
      </c>
      <c r="O60" s="184">
        <v>4930.5195129461181</v>
      </c>
      <c r="P60" s="184">
        <v>3998.6097353357382</v>
      </c>
      <c r="Q60" s="184">
        <v>2297.2848832512309</v>
      </c>
      <c r="R60" s="184">
        <v>2896.5910276988002</v>
      </c>
      <c r="S60" s="184">
        <v>623.86867289986128</v>
      </c>
      <c r="T60" s="184">
        <v>634.77546093445062</v>
      </c>
      <c r="U60" s="184">
        <v>0.67583817218633147</v>
      </c>
      <c r="V60" s="184">
        <v>19.259891011186888</v>
      </c>
      <c r="W60" s="184">
        <v>53.077960676829193</v>
      </c>
      <c r="X60" s="184">
        <v>17994.99924867423</v>
      </c>
      <c r="Y60" s="184">
        <f t="shared" si="66"/>
        <v>17.99499924867423</v>
      </c>
      <c r="Z60" s="184">
        <v>7.76319804088034</v>
      </c>
      <c r="AA60" s="184">
        <v>1.4788124299299992</v>
      </c>
      <c r="AB60" s="184">
        <f>Z60*conversions!$C$6/conversions!$C$8</f>
        <v>28.446164318411398</v>
      </c>
      <c r="AC60" s="184">
        <f>AA60*conversions!$C$6/conversions!$C$8</f>
        <v>5.4187129010981261</v>
      </c>
      <c r="AD60" s="184">
        <f t="shared" si="7"/>
        <v>33.864877219509523</v>
      </c>
      <c r="AE60" s="212">
        <f t="shared" si="43"/>
        <v>9816.3543191856315</v>
      </c>
      <c r="AF60" s="212">
        <f t="shared" si="44"/>
        <v>3.4498425910851767</v>
      </c>
      <c r="AG60" s="184">
        <f>M60*conversions!$C$1*1000000/data!L60</f>
        <v>19003.040535954595</v>
      </c>
      <c r="AH60" s="184">
        <f>N60*conversions!$C$1*1000/C60</f>
        <v>53033.183512873802</v>
      </c>
      <c r="AI60" s="184">
        <f>O60*conversions!$C$1*1000/D60</f>
        <v>10997.286959356039</v>
      </c>
      <c r="AK60" s="192">
        <f t="shared" si="84"/>
        <v>19003.040535954595</v>
      </c>
      <c r="AL60" s="192">
        <f t="shared" si="85"/>
        <v>122781673816436.7</v>
      </c>
      <c r="AM60" s="192">
        <f>data!AL60/(1000000*conversions!$C$1)</f>
        <v>10524.14346998029</v>
      </c>
      <c r="AN60" s="192">
        <f t="shared" si="47"/>
        <v>10524.14346998029</v>
      </c>
      <c r="AO60" s="212">
        <f t="shared" si="72"/>
        <v>1.3515756842932363</v>
      </c>
      <c r="AP60" s="212">
        <f t="shared" si="76"/>
        <v>1.2849519997940206</v>
      </c>
      <c r="AQ60" s="212">
        <f t="shared" si="73"/>
        <v>4.9274681545688622E-4</v>
      </c>
      <c r="AR60" s="212">
        <f t="shared" si="96"/>
        <v>39.984485508672833</v>
      </c>
      <c r="AS60" s="212">
        <f t="shared" si="74"/>
        <v>2.1054925143235206</v>
      </c>
      <c r="AT60" s="212">
        <f t="shared" si="86"/>
        <v>5.0434470822477871E-3</v>
      </c>
      <c r="AU60" s="212">
        <f t="shared" si="67"/>
        <v>1.709877796706617E-3</v>
      </c>
      <c r="BR60" s="212" t="str">
        <f t="shared" si="87"/>
        <v/>
      </c>
      <c r="CD60" s="173">
        <f t="shared" si="63"/>
        <v>2004</v>
      </c>
      <c r="CE60" s="173">
        <f t="shared" si="88"/>
        <v>3998.6097353357382</v>
      </c>
      <c r="CF60" s="173">
        <f t="shared" si="89"/>
        <v>2297.2848832512309</v>
      </c>
      <c r="CG60" s="173">
        <f t="shared" si="90"/>
        <v>2896.5910276988002</v>
      </c>
      <c r="CH60" s="173">
        <f t="shared" si="91"/>
        <v>623.86867289986128</v>
      </c>
      <c r="CI60" s="173"/>
      <c r="CJ60" s="173">
        <f t="shared" si="92"/>
        <v>634.77546093445062</v>
      </c>
      <c r="CK60" s="173">
        <f t="shared" si="93"/>
        <v>71.072959925503426</v>
      </c>
      <c r="CL60" s="173">
        <v>0</v>
      </c>
      <c r="CM60" s="173">
        <f t="shared" si="65"/>
        <v>0.67583817218633147</v>
      </c>
      <c r="CN60" s="173">
        <f t="shared" si="62"/>
        <v>19.259891011186888</v>
      </c>
      <c r="CO60" s="173"/>
      <c r="CP60" s="174"/>
      <c r="CQ60" s="174"/>
      <c r="CR60" s="174"/>
      <c r="CT60" s="190">
        <f t="shared" si="94"/>
        <v>5.2413003874631583</v>
      </c>
      <c r="CU60" s="190">
        <f t="shared" si="95"/>
        <v>33.864877219509523</v>
      </c>
      <c r="CV60" s="198">
        <f t="shared" si="59"/>
        <v>1727.2812173200768</v>
      </c>
      <c r="CW60" s="198">
        <f t="shared" si="60"/>
        <v>1727.2812173200768</v>
      </c>
      <c r="CX60" s="198">
        <v>1727.2812173200768</v>
      </c>
      <c r="CY60" s="198">
        <f t="shared" si="61"/>
        <v>0</v>
      </c>
      <c r="CZ60" s="199">
        <f>IF(CX60&lt;intermediates!$B$55,intermediates!$B$56+(CX60-intermediates!$B$55)*intermediates!$B$53,intermediates!$B$56+(data!CX60-intermediates!$B$55)*intermediates!$B$58)</f>
        <v>0.9083867599111024</v>
      </c>
      <c r="DA60" s="220">
        <v>1496966.9</v>
      </c>
      <c r="DB60" s="220">
        <v>3348713.1</v>
      </c>
      <c r="DC60" s="220">
        <v>4037314.5935999998</v>
      </c>
      <c r="DD60" s="209">
        <f t="shared" si="33"/>
        <v>4.3630690092388881E-3</v>
      </c>
      <c r="DE60" s="209">
        <f t="shared" si="34"/>
        <v>-1.3164104034236568E-2</v>
      </c>
      <c r="DF60" s="209">
        <f t="shared" si="75"/>
        <v>-1.1432245161424703E-3</v>
      </c>
      <c r="DG60" s="201">
        <f t="shared" si="77"/>
        <v>14969669000000</v>
      </c>
      <c r="DH60" s="201">
        <f t="shared" si="77"/>
        <v>33487131000000</v>
      </c>
      <c r="DI60" s="201">
        <f t="shared" si="77"/>
        <v>40373145936000</v>
      </c>
      <c r="DJ60" s="220">
        <v>9660908272437050</v>
      </c>
      <c r="DK60" s="220">
        <v>1240911771957070</v>
      </c>
      <c r="DL60" s="220">
        <v>1.09018200443941E+16</v>
      </c>
      <c r="DM60" s="220">
        <v>2541682438778230</v>
      </c>
      <c r="DN60" s="220">
        <v>81290397241017.5</v>
      </c>
      <c r="DO60" s="220">
        <v>2622972836019240</v>
      </c>
      <c r="DP60" s="220">
        <v>5244765615538470</v>
      </c>
      <c r="DQ60" s="220">
        <v>1056583846655070</v>
      </c>
      <c r="DR60" s="220">
        <v>6301349462193540</v>
      </c>
      <c r="DS60" s="220">
        <v>988302951034312</v>
      </c>
      <c r="DT60" s="220">
        <v>84894195673816.594</v>
      </c>
      <c r="DU60" s="220">
        <v>1073197146708120</v>
      </c>
      <c r="DV60" s="220">
        <v>1841887336667030</v>
      </c>
      <c r="DW60" s="220">
        <v>2699886648018.52</v>
      </c>
      <c r="DX60" s="220">
        <v>1844587223315050</v>
      </c>
      <c r="DY60" s="220">
        <v>284816146834459</v>
      </c>
      <c r="DZ60" s="220">
        <v>5293832135022.3203</v>
      </c>
      <c r="EA60" s="220">
        <v>290109978969481</v>
      </c>
      <c r="EB60" s="220">
        <v>407449890414763</v>
      </c>
      <c r="EC60" s="220">
        <v>15262176498500.5</v>
      </c>
      <c r="ED60" s="220">
        <v>422712066913263</v>
      </c>
      <c r="EE60" s="212">
        <f t="shared" si="78"/>
        <v>2671.9618081771864</v>
      </c>
      <c r="EG60" s="212">
        <f t="shared" si="10"/>
        <v>0.16767580547536662</v>
      </c>
      <c r="EI60" s="212">
        <f t="shared" si="35"/>
        <v>0.16767580547536662</v>
      </c>
      <c r="EJ60" s="212">
        <v>0.30401641747288183</v>
      </c>
      <c r="EK60" s="212">
        <v>0.19950997549877494</v>
      </c>
      <c r="EL60" s="212">
        <v>8.3333333333333329E-2</v>
      </c>
      <c r="EM60" s="212">
        <v>0.27330007876082962</v>
      </c>
      <c r="EN60" s="212">
        <f t="shared" si="79"/>
        <v>2223.9384597916596</v>
      </c>
      <c r="EP60" s="212">
        <f t="shared" si="80"/>
        <v>448.02334838552679</v>
      </c>
      <c r="ER60" s="215">
        <f t="shared" si="13"/>
        <v>645.3655236089088</v>
      </c>
      <c r="ES60" s="209">
        <f t="shared" si="42"/>
        <v>44.258081021768817</v>
      </c>
      <c r="EU60" s="215">
        <f t="shared" si="14"/>
        <v>645.3655236089088</v>
      </c>
      <c r="EV60" s="216">
        <f>data!EU60*conversions!$C$13</f>
        <v>0.75056010395716088</v>
      </c>
      <c r="EW60" s="217">
        <f t="shared" si="15"/>
        <v>2.6985908069182621E-2</v>
      </c>
      <c r="EX60" s="217"/>
      <c r="EZ60" s="217">
        <f t="shared" si="36"/>
        <v>2.6985908069182621E-2</v>
      </c>
      <c r="FA60" s="212">
        <f t="shared" si="16"/>
        <v>2.0482378330327911</v>
      </c>
      <c r="FD60" s="212">
        <f t="shared" si="37"/>
        <v>2.0482378330327911</v>
      </c>
      <c r="FE60" s="184">
        <f t="shared" si="17"/>
        <v>0.85145767050683041</v>
      </c>
      <c r="FG60" s="184">
        <f t="shared" si="38"/>
        <v>0.85145767050683041</v>
      </c>
      <c r="FH60" s="184">
        <f t="shared" si="18"/>
        <v>2.9481301219581046E-2</v>
      </c>
      <c r="FJ60" s="184">
        <f t="shared" si="39"/>
        <v>2.9481301219581046E-2</v>
      </c>
      <c r="FK60" s="184">
        <f t="shared" si="19"/>
        <v>4.2175112207330806E-2</v>
      </c>
      <c r="FM60" s="184">
        <f t="shared" si="40"/>
        <v>4.2175112207330806E-2</v>
      </c>
      <c r="FN60" s="218"/>
      <c r="FO60" s="218">
        <f t="shared" si="81"/>
        <v>1056583846655070.1</v>
      </c>
      <c r="FP60" s="218">
        <f t="shared" si="21"/>
        <v>1240911771957070.3</v>
      </c>
      <c r="FQ60" s="218">
        <f t="shared" si="22"/>
        <v>33487131000000.008</v>
      </c>
      <c r="FR60" s="218">
        <f t="shared" si="23"/>
        <v>2541682438778230.5</v>
      </c>
      <c r="FS60" s="218">
        <f t="shared" si="24"/>
        <v>3938361046256.4604</v>
      </c>
      <c r="FT60" s="218">
        <f>intermediates!$B$69*data!EU60/intermediates!$B$71</f>
        <v>1.6426706715369128</v>
      </c>
      <c r="FU60" s="218">
        <f>(Y60+W60)*conversions!$C$1*1000000</f>
        <v>829184532464.20654</v>
      </c>
      <c r="FV60" s="218">
        <f t="shared" si="41"/>
        <v>504778314260.88971</v>
      </c>
      <c r="FW60" s="221">
        <f t="shared" si="25"/>
        <v>1257780446016.8682</v>
      </c>
      <c r="FX60" s="221">
        <f t="shared" si="26"/>
        <v>753002131755.97852</v>
      </c>
      <c r="FY60" s="221">
        <f>FX60*intermediates!$B$72*1000*ER60/(intermediates!$B$71*10000*1000000000)</f>
        <v>98.954761395225631</v>
      </c>
      <c r="FZ60" s="221">
        <f t="shared" si="82"/>
        <v>15.315325842768027</v>
      </c>
      <c r="GA60" s="218"/>
      <c r="GB60" s="218"/>
      <c r="GC60" s="218">
        <f t="shared" si="83"/>
        <v>8126814066871.0322</v>
      </c>
      <c r="GD60" s="218">
        <f t="shared" si="29"/>
        <v>13322955559144.361</v>
      </c>
      <c r="GE60" s="218">
        <f t="shared" si="30"/>
        <v>14351319653454.029</v>
      </c>
      <c r="GF60" s="218">
        <f t="shared" si="31"/>
        <v>423095577601.97168</v>
      </c>
      <c r="GG60" s="218">
        <f t="shared" si="32"/>
        <v>605268516707.69556</v>
      </c>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188">
        <f t="shared" si="64"/>
        <v>2004</v>
      </c>
      <c r="HN60" s="185">
        <f t="shared" si="68"/>
        <v>2316.8704088699365</v>
      </c>
      <c r="HO60" s="185">
        <f t="shared" si="69"/>
        <v>5182.8362331759727</v>
      </c>
      <c r="HP60" s="185">
        <f t="shared" si="70"/>
        <v>6248.5915441487678</v>
      </c>
      <c r="IC60" s="185">
        <f t="shared" si="71"/>
        <v>7499.7066420459087</v>
      </c>
    </row>
    <row r="61" spans="1:237" x14ac:dyDescent="0.3">
      <c r="A61" s="184">
        <v>2005</v>
      </c>
      <c r="B61" s="207">
        <v>6541906.9560000002</v>
      </c>
      <c r="C61" s="207">
        <v>1239671.0010000002</v>
      </c>
      <c r="D61" s="207">
        <f t="shared" si="1"/>
        <v>5302235.9550000001</v>
      </c>
      <c r="H61" s="207">
        <f t="shared" si="5"/>
        <v>6541906956</v>
      </c>
      <c r="L61" s="187">
        <f t="shared" si="6"/>
        <v>6541906956</v>
      </c>
      <c r="M61" s="184">
        <v>10887.938182277292</v>
      </c>
      <c r="N61" s="184">
        <v>5638.4309037243365</v>
      </c>
      <c r="O61" s="184">
        <v>5249.5072785529555</v>
      </c>
      <c r="P61" s="184">
        <v>4050.998429212043</v>
      </c>
      <c r="Q61" s="184">
        <v>2359.8814491010812</v>
      </c>
      <c r="R61" s="184">
        <v>3108.5515967948031</v>
      </c>
      <c r="S61" s="184">
        <v>626.566975084246</v>
      </c>
      <c r="T61" s="184">
        <v>659.78216194288791</v>
      </c>
      <c r="U61" s="184">
        <v>0.9453105981346086</v>
      </c>
      <c r="V61" s="184">
        <v>23.552035301263576</v>
      </c>
      <c r="W61" s="184">
        <v>57.660224242824043</v>
      </c>
      <c r="X61" s="184">
        <v>21129.340407502725</v>
      </c>
      <c r="Y61" s="184">
        <f t="shared" si="66"/>
        <v>21.129340407502724</v>
      </c>
      <c r="Z61" s="184">
        <v>8.0243176318479215</v>
      </c>
      <c r="AA61" s="184">
        <v>1.3677681494228944</v>
      </c>
      <c r="AB61" s="184">
        <f>Z61*conversions!$C$6/conversions!$C$8</f>
        <v>29.402967268987403</v>
      </c>
      <c r="AC61" s="184">
        <f>AA61*conversions!$C$6/conversions!$C$8</f>
        <v>5.0118208144489147</v>
      </c>
      <c r="AD61" s="184">
        <f t="shared" si="7"/>
        <v>34.414788083436321</v>
      </c>
      <c r="AE61" s="212">
        <f t="shared" si="43"/>
        <v>10145.998450192174</v>
      </c>
      <c r="AF61" s="212">
        <f t="shared" si="44"/>
        <v>3.3919567652589655</v>
      </c>
      <c r="AG61" s="184">
        <f>M61*conversions!$C$1*1000000/data!L61</f>
        <v>19417.265686329909</v>
      </c>
      <c r="AH61" s="184">
        <f>N61*conversions!$C$1*1000/C61</f>
        <v>53063.832116521306</v>
      </c>
      <c r="AI61" s="184">
        <f>O61*conversions!$C$1*1000/D61</f>
        <v>11550.646199621611</v>
      </c>
      <c r="AK61" s="192">
        <f t="shared" si="84"/>
        <v>19417.265686329909</v>
      </c>
      <c r="AL61" s="192">
        <f t="shared" si="85"/>
        <v>127025945459901.75</v>
      </c>
      <c r="AM61" s="192">
        <f>data!AL61/(1000000*conversions!$C$1)</f>
        <v>10887.938182277294</v>
      </c>
      <c r="AN61" s="192">
        <f t="shared" si="47"/>
        <v>10887.938182277294</v>
      </c>
      <c r="AO61" s="212">
        <f t="shared" si="72"/>
        <v>1.2288161458287385</v>
      </c>
      <c r="AP61" s="212">
        <f t="shared" si="76"/>
        <v>1.2705823826466598</v>
      </c>
      <c r="AQ61" s="212">
        <f t="shared" si="73"/>
        <v>4.1896056348391834E-4</v>
      </c>
      <c r="AR61" s="212">
        <f t="shared" si="96"/>
        <v>25.00670100843729</v>
      </c>
      <c r="AS61" s="212">
        <f t="shared" si="74"/>
        <v>3.1343411588284944</v>
      </c>
      <c r="AT61" s="212">
        <f t="shared" si="86"/>
        <v>5.295789090415645E-3</v>
      </c>
      <c r="AU61" s="212">
        <f t="shared" si="67"/>
        <v>1.9406190643050992E-3</v>
      </c>
      <c r="BR61" s="212" t="str">
        <f t="shared" si="87"/>
        <v/>
      </c>
      <c r="CD61" s="173">
        <f t="shared" si="63"/>
        <v>2005</v>
      </c>
      <c r="CE61" s="173">
        <f t="shared" si="88"/>
        <v>4050.998429212043</v>
      </c>
      <c r="CF61" s="173">
        <f t="shared" si="89"/>
        <v>2359.8814491010812</v>
      </c>
      <c r="CG61" s="173">
        <f t="shared" si="90"/>
        <v>3108.5515967948031</v>
      </c>
      <c r="CH61" s="173">
        <f t="shared" si="91"/>
        <v>626.566975084246</v>
      </c>
      <c r="CI61" s="173"/>
      <c r="CJ61" s="173">
        <f t="shared" si="92"/>
        <v>659.78216194288791</v>
      </c>
      <c r="CK61" s="173">
        <f t="shared" si="93"/>
        <v>78.789564650326767</v>
      </c>
      <c r="CL61" s="173">
        <v>0</v>
      </c>
      <c r="CM61" s="173">
        <f t="shared" si="65"/>
        <v>0.9453105981346086</v>
      </c>
      <c r="CN61" s="173">
        <f t="shared" si="62"/>
        <v>23.552035301263576</v>
      </c>
      <c r="CO61" s="173"/>
      <c r="CP61" s="174"/>
      <c r="CQ61" s="174"/>
      <c r="CR61" s="174"/>
      <c r="CT61" s="190">
        <f t="shared" si="94"/>
        <v>5.2606660893995629</v>
      </c>
      <c r="CU61" s="190">
        <f t="shared" si="95"/>
        <v>34.414788083436321</v>
      </c>
      <c r="CV61" s="198">
        <f t="shared" si="59"/>
        <v>1761.6960054035133</v>
      </c>
      <c r="CW61" s="198">
        <f t="shared" si="60"/>
        <v>1761.6960054035133</v>
      </c>
      <c r="CX61" s="198">
        <v>1761.6960054035133</v>
      </c>
      <c r="CY61" s="198">
        <f t="shared" si="61"/>
        <v>0</v>
      </c>
      <c r="CZ61" s="199">
        <f>IF(CX61&lt;intermediates!$B$55,intermediates!$B$56+(CX61-intermediates!$B$55)*intermediates!$B$53,intermediates!$B$56+(data!CX61-intermediates!$B$55)*intermediates!$B$58)</f>
        <v>0.92710151126750873</v>
      </c>
      <c r="DA61" s="220">
        <v>1502550.03</v>
      </c>
      <c r="DB61" s="220">
        <v>3353375.62</v>
      </c>
      <c r="DC61" s="220">
        <v>4032742.6860000002</v>
      </c>
      <c r="DD61" s="209">
        <f t="shared" si="33"/>
        <v>3.5758653533726949E-3</v>
      </c>
      <c r="DE61" s="209">
        <f t="shared" si="34"/>
        <v>1.4274085865987191E-3</v>
      </c>
      <c r="DF61" s="209">
        <f t="shared" si="75"/>
        <v>-1.1432245161423539E-3</v>
      </c>
      <c r="DG61" s="201">
        <f t="shared" si="77"/>
        <v>15025500300000</v>
      </c>
      <c r="DH61" s="201">
        <f t="shared" si="77"/>
        <v>33533756200000</v>
      </c>
      <c r="DI61" s="201">
        <f t="shared" si="77"/>
        <v>40327426860000</v>
      </c>
      <c r="DJ61" s="220">
        <v>9703204721674460</v>
      </c>
      <c r="DK61" s="220">
        <v>1269161081058270</v>
      </c>
      <c r="DL61" s="220">
        <v>1.09723658027327E+16</v>
      </c>
      <c r="DM61" s="220">
        <v>2516936645872830</v>
      </c>
      <c r="DN61" s="220">
        <v>81416703437265.703</v>
      </c>
      <c r="DO61" s="220">
        <v>2598353349310100</v>
      </c>
      <c r="DP61" s="220">
        <v>5335211491700930</v>
      </c>
      <c r="DQ61" s="220">
        <v>1080575254084170</v>
      </c>
      <c r="DR61" s="220">
        <v>6415786745785110</v>
      </c>
      <c r="DS61" s="220">
        <v>1101744683678900</v>
      </c>
      <c r="DT61" s="220">
        <v>90476298337159.797</v>
      </c>
      <c r="DU61" s="220">
        <v>1192220982016060</v>
      </c>
      <c r="DV61" s="220">
        <v>1923797309954440</v>
      </c>
      <c r="DW61" s="220">
        <v>2415534897886.0098</v>
      </c>
      <c r="DX61" s="220">
        <v>1926212844852330</v>
      </c>
      <c r="DY61" s="220">
        <v>279202398506255</v>
      </c>
      <c r="DZ61" s="220">
        <v>5552606782830.21</v>
      </c>
      <c r="EA61" s="220">
        <v>284755005289085</v>
      </c>
      <c r="EB61" s="220">
        <v>406579008263366</v>
      </c>
      <c r="EC61" s="220">
        <v>14661952592406.301</v>
      </c>
      <c r="ED61" s="220">
        <v>421240960855772</v>
      </c>
      <c r="EE61" s="212">
        <f t="shared" si="78"/>
        <v>2686.9073577294448</v>
      </c>
      <c r="EG61" s="212">
        <f t="shared" si="10"/>
        <v>0.1684244344302841</v>
      </c>
      <c r="EI61" s="212">
        <f t="shared" si="35"/>
        <v>0.1684244344302841</v>
      </c>
      <c r="EJ61" s="212">
        <v>0.3034782608695652</v>
      </c>
      <c r="EK61" s="212">
        <v>0.20354289683918028</v>
      </c>
      <c r="EL61" s="212">
        <v>8.4581497797356825E-2</v>
      </c>
      <c r="EM61" s="212">
        <v>0.27481713688610243</v>
      </c>
      <c r="EN61" s="212">
        <f t="shared" si="79"/>
        <v>2234.3665056372897</v>
      </c>
      <c r="EP61" s="212">
        <f t="shared" si="80"/>
        <v>452.54085209215077</v>
      </c>
      <c r="ER61" s="215">
        <f t="shared" si="13"/>
        <v>645.78247166082451</v>
      </c>
      <c r="ES61" s="209">
        <f t="shared" si="42"/>
        <v>0.41694805191571049</v>
      </c>
      <c r="EU61" s="215">
        <f t="shared" si="14"/>
        <v>645.78247166082451</v>
      </c>
      <c r="EV61" s="216">
        <f>data!EU61*conversions!$C$13</f>
        <v>0.75104501454153894</v>
      </c>
      <c r="EW61" s="217">
        <f t="shared" si="15"/>
        <v>2.6421985909021419E-2</v>
      </c>
      <c r="EX61" s="217"/>
      <c r="EZ61" s="217">
        <f t="shared" si="36"/>
        <v>2.6421985909021419E-2</v>
      </c>
      <c r="FA61" s="212">
        <f t="shared" si="16"/>
        <v>1.9831498802138827</v>
      </c>
      <c r="FD61" s="212">
        <f t="shared" si="37"/>
        <v>1.9831498802138827</v>
      </c>
      <c r="FE61" s="184">
        <f t="shared" si="17"/>
        <v>0.85140906872368738</v>
      </c>
      <c r="FG61" s="184">
        <f t="shared" si="38"/>
        <v>0.85140906872368738</v>
      </c>
      <c r="FH61" s="184">
        <f t="shared" si="18"/>
        <v>2.8774245882145385E-2</v>
      </c>
      <c r="FJ61" s="184">
        <f t="shared" si="39"/>
        <v>2.8774245882145385E-2</v>
      </c>
      <c r="FK61" s="184">
        <f t="shared" si="19"/>
        <v>4.1901518098981592E-2</v>
      </c>
      <c r="FM61" s="184">
        <f t="shared" si="40"/>
        <v>4.1901518098981592E-2</v>
      </c>
      <c r="FN61" s="218"/>
      <c r="FO61" s="218">
        <f t="shared" si="81"/>
        <v>1080575254084170</v>
      </c>
      <c r="FP61" s="218">
        <f t="shared" si="21"/>
        <v>1269161081058270</v>
      </c>
      <c r="FQ61" s="218">
        <f t="shared" si="22"/>
        <v>33533756200000</v>
      </c>
      <c r="FR61" s="218">
        <f t="shared" si="23"/>
        <v>2516936645872830</v>
      </c>
      <c r="FS61" s="218">
        <f t="shared" si="24"/>
        <v>3897499167792.1636</v>
      </c>
      <c r="FT61" s="218">
        <f>intermediates!$B$69*data!EU61/intermediates!$B$71</f>
        <v>1.6437319435004449</v>
      </c>
      <c r="FU61" s="218">
        <f>(Y61+W61)*conversions!$C$1*1000000</f>
        <v>919211587587.14563</v>
      </c>
      <c r="FV61" s="218">
        <f t="shared" si="41"/>
        <v>559222317983.07617</v>
      </c>
      <c r="FW61" s="221">
        <f t="shared" si="25"/>
        <v>1402153983436.0461</v>
      </c>
      <c r="FX61" s="221">
        <f t="shared" si="26"/>
        <v>842931665452.96997</v>
      </c>
      <c r="FY61" s="221">
        <f>FX61*intermediates!$B$72*1000*ER61/(intermediates!$B$71*10000*1000000000)</f>
        <v>110.84429637544619</v>
      </c>
      <c r="FZ61" s="221">
        <f t="shared" si="82"/>
        <v>16.943728659085227</v>
      </c>
      <c r="GA61" s="218"/>
      <c r="GB61" s="218"/>
      <c r="GC61" s="218">
        <f t="shared" si="83"/>
        <v>8261623264533.3691</v>
      </c>
      <c r="GD61" s="218">
        <f t="shared" si="29"/>
        <v>13561276415761.58</v>
      </c>
      <c r="GE61" s="218">
        <f t="shared" si="30"/>
        <v>14592621057486.521</v>
      </c>
      <c r="GF61" s="218">
        <f t="shared" si="31"/>
        <v>419891666373.0896</v>
      </c>
      <c r="GG61" s="218">
        <f t="shared" si="32"/>
        <v>611452975351.85144</v>
      </c>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188">
        <f t="shared" si="64"/>
        <v>2005</v>
      </c>
      <c r="HN61" s="185">
        <f t="shared" si="68"/>
        <v>2296.8073989831291</v>
      </c>
      <c r="HO61" s="185">
        <f t="shared" si="69"/>
        <v>5125.9910031652244</v>
      </c>
      <c r="HP61" s="185">
        <f t="shared" si="70"/>
        <v>6164.4757608503041</v>
      </c>
      <c r="IC61" s="185">
        <f t="shared" si="71"/>
        <v>7422.7984021483535</v>
      </c>
    </row>
    <row r="62" spans="1:237" x14ac:dyDescent="0.3">
      <c r="A62" s="211">
        <v>2006</v>
      </c>
      <c r="B62" s="207">
        <v>6623517.9170000004</v>
      </c>
      <c r="C62" s="207">
        <v>1248943.4670000002</v>
      </c>
      <c r="D62" s="207">
        <f t="shared" si="1"/>
        <v>5374574.4500000002</v>
      </c>
      <c r="H62" s="207">
        <f t="shared" si="5"/>
        <v>6623517917</v>
      </c>
      <c r="L62" s="187">
        <f t="shared" si="6"/>
        <v>6623517917</v>
      </c>
      <c r="M62" s="184">
        <v>11205.78947954501</v>
      </c>
      <c r="N62" s="184">
        <v>5653.957176178099</v>
      </c>
      <c r="O62" s="184">
        <v>5551.8323033669094</v>
      </c>
      <c r="P62" s="184">
        <v>4103.1344039487212</v>
      </c>
      <c r="Q62" s="184">
        <v>2419.3743742326214</v>
      </c>
      <c r="R62" s="184">
        <v>3271.1844674131639</v>
      </c>
      <c r="S62" s="184">
        <v>634.38056100310553</v>
      </c>
      <c r="T62" s="184">
        <v>684.83778267753485</v>
      </c>
      <c r="U62" s="184">
        <v>1.2971715313082501</v>
      </c>
      <c r="V62" s="184">
        <v>30.062693560881229</v>
      </c>
      <c r="W62" s="184">
        <v>61.518025177673415</v>
      </c>
      <c r="X62" s="184">
        <v>26933.185764069764</v>
      </c>
      <c r="Y62" s="184">
        <f t="shared" si="66"/>
        <v>26.933185764069762</v>
      </c>
      <c r="Z62" s="184">
        <v>8.2903047925045765</v>
      </c>
      <c r="AA62" s="184">
        <v>1.4175660862200805</v>
      </c>
      <c r="AB62" s="184">
        <f>Z62*conversions!$C$6/conversions!$C$8</f>
        <v>30.377606127713321</v>
      </c>
      <c r="AC62" s="184">
        <f>AA62*conversions!$C$6/conversions!$C$8</f>
        <v>5.1942920441394538</v>
      </c>
      <c r="AD62" s="184">
        <f t="shared" si="7"/>
        <v>35.571898171852773</v>
      </c>
      <c r="AE62" s="212">
        <f t="shared" si="43"/>
        <v>10428.073806597611</v>
      </c>
      <c r="AF62" s="212">
        <f t="shared" si="44"/>
        <v>3.4111667055278434</v>
      </c>
      <c r="AG62" s="184">
        <f>M62*conversions!$C$1*1000000/data!L62</f>
        <v>19737.881324235237</v>
      </c>
      <c r="AH62" s="184">
        <f>N62*conversions!$C$1*1000/C62</f>
        <v>52814.9075318217</v>
      </c>
      <c r="AI62" s="184">
        <f>O62*conversions!$C$1*1000/D62</f>
        <v>12051.442858441367</v>
      </c>
      <c r="AK62" s="192">
        <f t="shared" si="84"/>
        <v>19737.881324235237</v>
      </c>
      <c r="AL62" s="192">
        <f t="shared" si="85"/>
        <v>130734210594691.78</v>
      </c>
      <c r="AM62" s="192">
        <f>data!AL62/(1000000*conversions!$C$1)</f>
        <v>11205.78947954501</v>
      </c>
      <c r="AN62" s="192">
        <f t="shared" si="47"/>
        <v>11205.78947954501</v>
      </c>
      <c r="AO62" s="212">
        <f t="shared" si="72"/>
        <v>1.2801331712003905</v>
      </c>
      <c r="AP62" s="212">
        <f t="shared" si="76"/>
        <v>1.2909790610822676</v>
      </c>
      <c r="AQ62" s="212">
        <f t="shared" si="73"/>
        <v>6.1240836313390537E-4</v>
      </c>
      <c r="AR62" s="212">
        <f t="shared" si="96"/>
        <v>25.055620734646936</v>
      </c>
      <c r="AS62" s="212">
        <f t="shared" si="74"/>
        <v>5.803845356567038</v>
      </c>
      <c r="AT62" s="212">
        <f t="shared" si="86"/>
        <v>5.4898430217672836E-3</v>
      </c>
      <c r="AU62" s="212">
        <f t="shared" si="67"/>
        <v>2.4035063136991336E-3</v>
      </c>
      <c r="BR62" s="212" t="str">
        <f t="shared" si="87"/>
        <v/>
      </c>
      <c r="CD62" s="173">
        <f t="shared" si="63"/>
        <v>2006</v>
      </c>
      <c r="CE62" s="173">
        <f t="shared" si="88"/>
        <v>4103.1344039487212</v>
      </c>
      <c r="CF62" s="173">
        <f t="shared" si="89"/>
        <v>2419.3743742326214</v>
      </c>
      <c r="CG62" s="173">
        <f t="shared" si="90"/>
        <v>3271.1844674131639</v>
      </c>
      <c r="CH62" s="173">
        <f t="shared" si="91"/>
        <v>634.38056100310553</v>
      </c>
      <c r="CI62" s="173"/>
      <c r="CJ62" s="173">
        <f t="shared" si="92"/>
        <v>684.83778267753485</v>
      </c>
      <c r="CK62" s="173">
        <f t="shared" si="93"/>
        <v>88.45121094174317</v>
      </c>
      <c r="CL62" s="173">
        <v>0</v>
      </c>
      <c r="CM62" s="173">
        <f t="shared" si="65"/>
        <v>1.2971715313082501</v>
      </c>
      <c r="CN62" s="173">
        <f t="shared" si="62"/>
        <v>30.062693560881229</v>
      </c>
      <c r="CO62" s="173"/>
      <c r="CP62" s="174"/>
      <c r="CQ62" s="174"/>
      <c r="CR62" s="174"/>
      <c r="CT62" s="190">
        <f t="shared" si="94"/>
        <v>5.3705445682502821</v>
      </c>
      <c r="CU62" s="190">
        <f t="shared" si="95"/>
        <v>35.571898171852773</v>
      </c>
      <c r="CV62" s="198">
        <f t="shared" si="59"/>
        <v>1797.2679035753661</v>
      </c>
      <c r="CW62" s="198">
        <f t="shared" si="60"/>
        <v>1797.2679035753661</v>
      </c>
      <c r="CX62" s="198">
        <v>1797.2679035753661</v>
      </c>
      <c r="CY62" s="198">
        <f t="shared" si="61"/>
        <v>0</v>
      </c>
      <c r="CZ62" s="199">
        <f>IF(CX62&lt;intermediates!$B$55,intermediates!$B$56+(CX62-intermediates!$B$55)*intermediates!$B$53,intermediates!$B$56+(data!CX62-intermediates!$B$55)*intermediates!$B$58)</f>
        <v>0.94644549874020911</v>
      </c>
      <c r="DA62" s="220">
        <v>1496038.13</v>
      </c>
      <c r="DB62" s="220">
        <v>3355962.14</v>
      </c>
      <c r="DC62" s="220">
        <v>4029328.7414000002</v>
      </c>
      <c r="DD62" s="209">
        <f t="shared" si="33"/>
        <v>-4.1707210103701054E-3</v>
      </c>
      <c r="DE62" s="209">
        <f t="shared" si="34"/>
        <v>7.9185094271109417E-4</v>
      </c>
      <c r="DF62" s="209">
        <f t="shared" si="75"/>
        <v>-8.5367105045434921E-4</v>
      </c>
      <c r="DG62" s="201">
        <f t="shared" si="77"/>
        <v>14960381299999.998</v>
      </c>
      <c r="DH62" s="201">
        <f t="shared" si="77"/>
        <v>33559621400000</v>
      </c>
      <c r="DI62" s="201">
        <f t="shared" si="77"/>
        <v>40293287414000</v>
      </c>
      <c r="DJ62" s="220">
        <v>9653231056745400</v>
      </c>
      <c r="DK62" s="220">
        <v>1297130884802730</v>
      </c>
      <c r="DL62" s="220">
        <v>1.09503619415481E+16</v>
      </c>
      <c r="DM62" s="220">
        <v>2468079250484050</v>
      </c>
      <c r="DN62" s="220">
        <v>79510380494388.406</v>
      </c>
      <c r="DO62" s="220">
        <v>2547589630978440</v>
      </c>
      <c r="DP62" s="220">
        <v>5420502998415400</v>
      </c>
      <c r="DQ62" s="220">
        <v>1110936313799810</v>
      </c>
      <c r="DR62" s="220">
        <v>6531439312215220</v>
      </c>
      <c r="DS62" s="220">
        <v>1250440449301930</v>
      </c>
      <c r="DT62" s="220">
        <v>92221294434759</v>
      </c>
      <c r="DU62" s="220">
        <v>1342661743736690</v>
      </c>
      <c r="DV62" s="220">
        <v>1995990457493850</v>
      </c>
      <c r="DW62" s="220">
        <v>2622038661158.2002</v>
      </c>
      <c r="DX62" s="220">
        <v>1998612496155010</v>
      </c>
      <c r="DY62" s="220">
        <v>278413477549373</v>
      </c>
      <c r="DZ62" s="220">
        <v>5738734684188.0898</v>
      </c>
      <c r="EA62" s="220">
        <v>284152212233561</v>
      </c>
      <c r="EB62" s="220">
        <v>423535800887876</v>
      </c>
      <c r="EC62" s="220">
        <v>15478005513180.4</v>
      </c>
      <c r="ED62" s="220">
        <v>439013806401057</v>
      </c>
      <c r="EE62" s="212">
        <f t="shared" si="78"/>
        <v>2701.6389937005888</v>
      </c>
      <c r="EG62" s="212">
        <f t="shared" si="10"/>
        <v>0.17009058198276697</v>
      </c>
      <c r="EI62" s="212">
        <f t="shared" si="35"/>
        <v>0.17009058198276697</v>
      </c>
      <c r="EJ62" s="212">
        <v>0.30150028851702249</v>
      </c>
      <c r="EK62" s="212">
        <v>0.21089143253555323</v>
      </c>
      <c r="EL62" s="212">
        <v>8.5261353898886033E-2</v>
      </c>
      <c r="EM62" s="212">
        <v>0.27702881311128735</v>
      </c>
      <c r="EN62" s="212">
        <f t="shared" si="79"/>
        <v>2242.1156449547143</v>
      </c>
      <c r="EP62" s="212">
        <f t="shared" si="80"/>
        <v>459.52334874587001</v>
      </c>
      <c r="ER62" s="215">
        <f t="shared" si="13"/>
        <v>645.25300947679727</v>
      </c>
      <c r="ES62" s="209">
        <f t="shared" si="42"/>
        <v>-0.52946218402723844</v>
      </c>
      <c r="EU62" s="215">
        <f t="shared" si="14"/>
        <v>645.25300947679727</v>
      </c>
      <c r="EV62" s="216">
        <f>data!EU62*conversions!$C$13</f>
        <v>0.75042925002151517</v>
      </c>
      <c r="EW62" s="217">
        <f t="shared" si="15"/>
        <v>2.5872193618382472E-2</v>
      </c>
      <c r="EX62" s="217"/>
      <c r="EZ62" s="217">
        <f t="shared" si="36"/>
        <v>2.5872193618382472E-2</v>
      </c>
      <c r="FA62" s="212">
        <f t="shared" si="16"/>
        <v>1.9027218296936934</v>
      </c>
      <c r="FD62" s="212">
        <f t="shared" si="37"/>
        <v>1.9027218296936934</v>
      </c>
      <c r="FE62" s="184">
        <f t="shared" si="17"/>
        <v>0.85645660496994735</v>
      </c>
      <c r="FG62" s="184">
        <f t="shared" si="38"/>
        <v>0.85645660496994735</v>
      </c>
      <c r="FH62" s="184">
        <f t="shared" si="18"/>
        <v>2.8841480734559406E-2</v>
      </c>
      <c r="FJ62" s="184">
        <f t="shared" si="39"/>
        <v>2.8841480734559406E-2</v>
      </c>
      <c r="FK62" s="184">
        <f t="shared" si="19"/>
        <v>4.3875029862868703E-2</v>
      </c>
      <c r="FM62" s="184">
        <f t="shared" si="40"/>
        <v>4.3875029862868703E-2</v>
      </c>
      <c r="FN62" s="218"/>
      <c r="FO62" s="218">
        <f t="shared" si="81"/>
        <v>1110936313799809.9</v>
      </c>
      <c r="FP62" s="218">
        <f t="shared" si="21"/>
        <v>1297130884802729.8</v>
      </c>
      <c r="FQ62" s="218">
        <f t="shared" si="22"/>
        <v>33559621399999.992</v>
      </c>
      <c r="FR62" s="218">
        <f t="shared" si="23"/>
        <v>2468079250484049.5</v>
      </c>
      <c r="FS62" s="218">
        <f t="shared" si="24"/>
        <v>3824979061291.46</v>
      </c>
      <c r="FT62" s="218">
        <f>intermediates!$B$69*data!EU62/intermediates!$B$71</f>
        <v>1.6423842855150512</v>
      </c>
      <c r="FU62" s="218">
        <f>(Y62+W62)*conversions!$C$1*1000000</f>
        <v>1031930794320.3369</v>
      </c>
      <c r="FV62" s="218">
        <f t="shared" si="41"/>
        <v>628312632689.81152</v>
      </c>
      <c r="FW62" s="221">
        <f t="shared" si="25"/>
        <v>1591394161470.9502</v>
      </c>
      <c r="FX62" s="221">
        <f t="shared" si="26"/>
        <v>963081528781.13867</v>
      </c>
      <c r="FY62" s="221">
        <f>FX62*intermediates!$B$72*1000*ER62/(intermediates!$B$71*10000*1000000000)</f>
        <v>126.5399974831963</v>
      </c>
      <c r="FZ62" s="221">
        <f t="shared" si="82"/>
        <v>19.104650892302601</v>
      </c>
      <c r="GA62" s="218"/>
      <c r="GB62" s="218"/>
      <c r="GC62" s="218">
        <f t="shared" si="83"/>
        <v>8400585380935.4707</v>
      </c>
      <c r="GD62" s="218">
        <f t="shared" si="29"/>
        <v>13816958603697.883</v>
      </c>
      <c r="GE62" s="218">
        <f t="shared" si="30"/>
        <v>14900468693344.084</v>
      </c>
      <c r="GF62" s="218">
        <f t="shared" si="31"/>
        <v>429751580754.98895</v>
      </c>
      <c r="GG62" s="218">
        <f t="shared" si="32"/>
        <v>653758508891.21191</v>
      </c>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188">
        <f t="shared" si="64"/>
        <v>2006</v>
      </c>
      <c r="HN62" s="185">
        <f t="shared" si="68"/>
        <v>2258.6760521327351</v>
      </c>
      <c r="HO62" s="185">
        <f t="shared" si="69"/>
        <v>5066.7367131091287</v>
      </c>
      <c r="HP62" s="185">
        <f t="shared" si="70"/>
        <v>6083.3665612321765</v>
      </c>
      <c r="IC62" s="185">
        <f t="shared" si="71"/>
        <v>7325.4127652418638</v>
      </c>
    </row>
    <row r="63" spans="1:237" x14ac:dyDescent="0.3">
      <c r="A63" s="184">
        <v>2007</v>
      </c>
      <c r="B63" s="207">
        <v>6705946.6430000002</v>
      </c>
      <c r="C63" s="207">
        <v>1258314.2770000005</v>
      </c>
      <c r="D63" s="207">
        <f t="shared" si="1"/>
        <v>5447632.3659999995</v>
      </c>
      <c r="H63" s="207">
        <f t="shared" si="5"/>
        <v>6705946643</v>
      </c>
      <c r="L63" s="187">
        <f t="shared" si="6"/>
        <v>6705946643</v>
      </c>
      <c r="M63" s="184">
        <v>11561.932114880481</v>
      </c>
      <c r="N63" s="184">
        <v>5692.6220063939327</v>
      </c>
      <c r="O63" s="184">
        <v>5869.3101084865511</v>
      </c>
      <c r="P63" s="184">
        <v>4163.9117764177163</v>
      </c>
      <c r="Q63" s="184">
        <v>2518.4490438597541</v>
      </c>
      <c r="R63" s="184">
        <v>3454.2266684588944</v>
      </c>
      <c r="S63" s="184">
        <v>621.45066092639695</v>
      </c>
      <c r="T63" s="184">
        <v>696.79934888895684</v>
      </c>
      <c r="U63" s="184">
        <v>1.7585900588755654</v>
      </c>
      <c r="V63" s="184">
        <v>38.621212370014767</v>
      </c>
      <c r="W63" s="184">
        <v>66.714813899872112</v>
      </c>
      <c r="X63" s="184">
        <v>36560.18352019586</v>
      </c>
      <c r="Y63" s="184">
        <f t="shared" si="66"/>
        <v>36.560183520195864</v>
      </c>
      <c r="Z63" s="184">
        <v>8.5377023814016564</v>
      </c>
      <c r="AA63" s="184">
        <v>1.2356778988377015</v>
      </c>
      <c r="AB63" s="184">
        <f>Z63*conversions!$C$6/conversions!$C$8</f>
        <v>31.284128469238837</v>
      </c>
      <c r="AC63" s="184">
        <f>AA63*conversions!$C$6/conversions!$C$8</f>
        <v>4.5278113954929555</v>
      </c>
      <c r="AD63" s="184">
        <f t="shared" si="7"/>
        <v>35.811939864731791</v>
      </c>
      <c r="AE63" s="212">
        <f t="shared" si="43"/>
        <v>10758.038149662761</v>
      </c>
      <c r="AF63" s="212">
        <f t="shared" si="44"/>
        <v>3.3288541429697767</v>
      </c>
      <c r="AG63" s="184">
        <f>M63*conversions!$C$1*1000000/data!L63</f>
        <v>20114.864490868415</v>
      </c>
      <c r="AH63" s="184">
        <f>N63*conversions!$C$1*1000/C63</f>
        <v>52780.076187539904</v>
      </c>
      <c r="AI63" s="184">
        <f>O63*conversions!$C$1*1000/D63</f>
        <v>12569.733050706707</v>
      </c>
      <c r="AK63" s="192">
        <f t="shared" si="84"/>
        <v>20114.864490868415</v>
      </c>
      <c r="AL63" s="192">
        <f t="shared" si="85"/>
        <v>134889208006938.95</v>
      </c>
      <c r="AM63" s="192">
        <f>data!AL63/(1000000*conversions!$C$1)</f>
        <v>11561.932114880483</v>
      </c>
      <c r="AN63" s="192">
        <f t="shared" si="47"/>
        <v>11561.932114880483</v>
      </c>
      <c r="AO63" s="212">
        <f t="shared" si="72"/>
        <v>1.2876267901722371</v>
      </c>
      <c r="AP63" s="212">
        <f t="shared" si="76"/>
        <v>1.2753136896108277</v>
      </c>
      <c r="AQ63" s="212">
        <f t="shared" si="73"/>
        <v>7.8014100472809165E-4</v>
      </c>
      <c r="AR63" s="212">
        <f t="shared" si="96"/>
        <v>11.961566211421996</v>
      </c>
      <c r="AS63" s="212">
        <f t="shared" si="74"/>
        <v>9.6269977561261015</v>
      </c>
      <c r="AT63" s="212">
        <f t="shared" si="86"/>
        <v>5.7702132512963428E-3</v>
      </c>
      <c r="AU63" s="212">
        <f t="shared" si="67"/>
        <v>3.1621171234124472E-3</v>
      </c>
      <c r="BR63" s="212" t="str">
        <f t="shared" si="87"/>
        <v/>
      </c>
      <c r="CD63" s="173">
        <f t="shared" si="63"/>
        <v>2007</v>
      </c>
      <c r="CE63" s="173">
        <f t="shared" si="88"/>
        <v>4163.9117764177163</v>
      </c>
      <c r="CF63" s="173">
        <f t="shared" si="89"/>
        <v>2518.4490438597541</v>
      </c>
      <c r="CG63" s="173">
        <f t="shared" si="90"/>
        <v>3454.2266684588944</v>
      </c>
      <c r="CH63" s="173">
        <f t="shared" si="91"/>
        <v>621.45066092639695</v>
      </c>
      <c r="CI63" s="173"/>
      <c r="CJ63" s="173">
        <f t="shared" si="92"/>
        <v>696.79934888895684</v>
      </c>
      <c r="CK63" s="173">
        <f t="shared" si="93"/>
        <v>103.27499742006798</v>
      </c>
      <c r="CL63" s="173">
        <v>0</v>
      </c>
      <c r="CM63" s="173">
        <f t="shared" si="65"/>
        <v>1.7585900588755654</v>
      </c>
      <c r="CN63" s="173">
        <f t="shared" si="62"/>
        <v>38.621212370014767</v>
      </c>
      <c r="CO63" s="173"/>
      <c r="CP63" s="174"/>
      <c r="CQ63" s="174"/>
      <c r="CR63" s="174"/>
      <c r="CT63" s="190">
        <f t="shared" si="94"/>
        <v>5.3403257990598645</v>
      </c>
      <c r="CU63" s="190">
        <f t="shared" si="95"/>
        <v>35.811939864731791</v>
      </c>
      <c r="CV63" s="198">
        <f t="shared" si="59"/>
        <v>1833.0798434400979</v>
      </c>
      <c r="CW63" s="198">
        <f t="shared" si="60"/>
        <v>1833.0798434400979</v>
      </c>
      <c r="CX63" s="198">
        <v>1833.0798434400979</v>
      </c>
      <c r="CY63" s="198">
        <f t="shared" si="61"/>
        <v>0</v>
      </c>
      <c r="CZ63" s="199">
        <f>IF(CX63&lt;intermediates!$B$55,intermediates!$B$56+(CX63-intermediates!$B$55)*intermediates!$B$53,intermediates!$B$56+(data!CX63-intermediates!$B$55)*intermediates!$B$58)</f>
        <v>0.96592002081293404</v>
      </c>
      <c r="DA63" s="220">
        <v>1498490.81</v>
      </c>
      <c r="DB63" s="220">
        <v>3348473.39</v>
      </c>
      <c r="DC63" s="220">
        <v>4025914.7968000001</v>
      </c>
      <c r="DD63" s="209">
        <f t="shared" si="33"/>
        <v>1.5708846892174373E-3</v>
      </c>
      <c r="DE63" s="209">
        <f t="shared" si="34"/>
        <v>-2.2926456192983872E-3</v>
      </c>
      <c r="DF63" s="209">
        <f t="shared" si="75"/>
        <v>-8.5367105045434921E-4</v>
      </c>
      <c r="DG63" s="201">
        <f t="shared" si="77"/>
        <v>14984908100000</v>
      </c>
      <c r="DH63" s="201">
        <f t="shared" si="77"/>
        <v>33484733900000</v>
      </c>
      <c r="DI63" s="201">
        <f t="shared" si="77"/>
        <v>40259147968000</v>
      </c>
      <c r="DJ63" s="220">
        <v>1.00865364739304E+16</v>
      </c>
      <c r="DK63" s="220">
        <v>1336425579504530</v>
      </c>
      <c r="DL63" s="220">
        <v>1.14229620534349E+16</v>
      </c>
      <c r="DM63" s="220">
        <v>2520371761659190</v>
      </c>
      <c r="DN63" s="220">
        <v>77966628920682</v>
      </c>
      <c r="DO63" s="220">
        <v>2598338390579870</v>
      </c>
      <c r="DP63" s="220">
        <v>5521567992419050</v>
      </c>
      <c r="DQ63" s="220">
        <v>1146915250176030</v>
      </c>
      <c r="DR63" s="220">
        <v>6668483242595090</v>
      </c>
      <c r="DS63" s="220">
        <v>1386518348170470</v>
      </c>
      <c r="DT63" s="220">
        <v>97361916377861.703</v>
      </c>
      <c r="DU63" s="220">
        <v>1483880264548340</v>
      </c>
      <c r="DV63" s="220">
        <v>2087595698340260</v>
      </c>
      <c r="DW63" s="220">
        <v>2676088040188.2202</v>
      </c>
      <c r="DX63" s="220">
        <v>2090271786380450</v>
      </c>
      <c r="DY63" s="220">
        <v>283441163264477</v>
      </c>
      <c r="DZ63" s="220">
        <v>6209569517591.5596</v>
      </c>
      <c r="EA63" s="220">
        <v>289650732782068</v>
      </c>
      <c r="EB63" s="220">
        <v>435478759578445</v>
      </c>
      <c r="EC63" s="220">
        <v>16580430999458.199</v>
      </c>
      <c r="ED63" s="220">
        <v>452059190577903</v>
      </c>
      <c r="EE63" s="212">
        <f t="shared" si="78"/>
        <v>2724.4202907685208</v>
      </c>
      <c r="EG63" s="212">
        <f t="shared" si="10"/>
        <v>0.17199042247719579</v>
      </c>
      <c r="EI63" s="212">
        <f t="shared" si="35"/>
        <v>0.17199042247719579</v>
      </c>
      <c r="EJ63" s="212">
        <v>0.30734335129004819</v>
      </c>
      <c r="EK63" s="212">
        <v>0.21479958890030831</v>
      </c>
      <c r="EL63" s="212">
        <v>8.7499999999999994E-2</v>
      </c>
      <c r="EM63" s="212">
        <v>0.27575192973116847</v>
      </c>
      <c r="EN63" s="212">
        <f t="shared" si="79"/>
        <v>2255.8460939537945</v>
      </c>
      <c r="EP63" s="212">
        <f t="shared" si="80"/>
        <v>468.57419681472248</v>
      </c>
      <c r="ER63" s="215">
        <f t="shared" si="13"/>
        <v>673.1130018695543</v>
      </c>
      <c r="ES63" s="209">
        <f t="shared" si="42"/>
        <v>27.859992392757022</v>
      </c>
      <c r="EU63" s="215">
        <f t="shared" si="14"/>
        <v>673.1130018695543</v>
      </c>
      <c r="EV63" s="216">
        <f>data!EU63*conversions!$C$13</f>
        <v>0.78283042117429158</v>
      </c>
      <c r="EW63" s="217">
        <f t="shared" si="15"/>
        <v>2.50554422285259E-2</v>
      </c>
      <c r="EX63" s="217"/>
      <c r="EZ63" s="217">
        <f t="shared" si="36"/>
        <v>2.50554422285259E-2</v>
      </c>
      <c r="FA63" s="212">
        <f t="shared" si="16"/>
        <v>1.8859050592204314</v>
      </c>
      <c r="FD63" s="212">
        <f t="shared" si="37"/>
        <v>1.8859050592204314</v>
      </c>
      <c r="FE63" s="184">
        <f t="shared" si="17"/>
        <v>0.85819612237685572</v>
      </c>
      <c r="FG63" s="184">
        <f t="shared" si="38"/>
        <v>0.85819612237685572</v>
      </c>
      <c r="FH63" s="184">
        <f t="shared" si="18"/>
        <v>2.8100940694266788E-2</v>
      </c>
      <c r="FJ63" s="184">
        <f t="shared" si="39"/>
        <v>2.8100940694266788E-2</v>
      </c>
      <c r="FK63" s="184">
        <f t="shared" si="19"/>
        <v>4.3174261125608453E-2</v>
      </c>
      <c r="FM63" s="184">
        <f t="shared" si="40"/>
        <v>4.3174261125608453E-2</v>
      </c>
      <c r="FN63" s="218"/>
      <c r="FO63" s="218">
        <f t="shared" si="81"/>
        <v>1146915250176030</v>
      </c>
      <c r="FP63" s="218">
        <f t="shared" si="21"/>
        <v>1336425579504530</v>
      </c>
      <c r="FQ63" s="218">
        <f t="shared" si="22"/>
        <v>33484733900000</v>
      </c>
      <c r="FR63" s="218">
        <f t="shared" si="23"/>
        <v>2520371761659190</v>
      </c>
      <c r="FS63" s="218">
        <f t="shared" si="24"/>
        <v>3744351623960.4961</v>
      </c>
      <c r="FT63" s="218">
        <f>intermediates!$B$69*data!EU63/intermediates!$B$71</f>
        <v>1.7132972654289842</v>
      </c>
      <c r="FU63" s="218">
        <f>(Y63+W63)*conversions!$C$1*1000000</f>
        <v>1204874969900.793</v>
      </c>
      <c r="FV63" s="218">
        <f t="shared" si="41"/>
        <v>703249222544.64124</v>
      </c>
      <c r="FW63" s="221">
        <f t="shared" si="25"/>
        <v>1764575998227.3684</v>
      </c>
      <c r="FX63" s="221">
        <f t="shared" si="26"/>
        <v>1061326775682.7272</v>
      </c>
      <c r="FY63" s="221">
        <f>FX63*intermediates!$B$72*1000*ER63/(intermediates!$B$71*10000*1000000000)</f>
        <v>145.4694610003022</v>
      </c>
      <c r="FZ63" s="221">
        <f t="shared" si="82"/>
        <v>21.692606390203007</v>
      </c>
      <c r="GA63" s="218"/>
      <c r="GB63" s="218"/>
      <c r="GC63" s="218">
        <f t="shared" si="83"/>
        <v>8203032740539.9033</v>
      </c>
      <c r="GD63" s="218">
        <f t="shared" si="29"/>
        <v>13711960362727.768</v>
      </c>
      <c r="GE63" s="218">
        <f t="shared" si="30"/>
        <v>14764287967325.66</v>
      </c>
      <c r="GF63" s="218">
        <f t="shared" si="31"/>
        <v>414890380562.89514</v>
      </c>
      <c r="GG63" s="218">
        <f t="shared" si="32"/>
        <v>637437224034.99695</v>
      </c>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188">
        <f t="shared" si="64"/>
        <v>2007</v>
      </c>
      <c r="HN63" s="185">
        <f t="shared" si="68"/>
        <v>2234.5701356932195</v>
      </c>
      <c r="HO63" s="185">
        <f t="shared" si="69"/>
        <v>4993.2896401663183</v>
      </c>
      <c r="HP63" s="185">
        <f t="shared" si="70"/>
        <v>6003.4995968875619</v>
      </c>
      <c r="IC63" s="185">
        <f t="shared" si="71"/>
        <v>7227.8597758595379</v>
      </c>
    </row>
    <row r="64" spans="1:237" x14ac:dyDescent="0.3">
      <c r="A64" s="211">
        <v>2008</v>
      </c>
      <c r="B64" s="207">
        <v>6789088.6720000003</v>
      </c>
      <c r="C64" s="207">
        <v>1267688.253</v>
      </c>
      <c r="D64" s="207">
        <f t="shared" si="1"/>
        <v>5521400.4189999998</v>
      </c>
      <c r="H64" s="207">
        <f t="shared" si="5"/>
        <v>6789088672</v>
      </c>
      <c r="L64" s="187">
        <f t="shared" si="6"/>
        <v>6789088672</v>
      </c>
      <c r="M64" s="184">
        <v>11705.102370982919</v>
      </c>
      <c r="N64" s="184">
        <v>5636.2957125783278</v>
      </c>
      <c r="O64" s="184">
        <v>6068.8066584045891</v>
      </c>
      <c r="P64" s="184">
        <v>4142.8526399668344</v>
      </c>
      <c r="Q64" s="184">
        <v>2578.4699868551606</v>
      </c>
      <c r="R64" s="184">
        <v>3503.4087256644298</v>
      </c>
      <c r="S64" s="184">
        <v>619.50962168754768</v>
      </c>
      <c r="T64" s="184">
        <v>736.80822433706885</v>
      </c>
      <c r="U64" s="184">
        <v>2.8560753855666854</v>
      </c>
      <c r="V64" s="184">
        <v>49.909969531624988</v>
      </c>
      <c r="W64" s="184">
        <v>71.287127554681646</v>
      </c>
      <c r="X64" s="184">
        <v>49443.141041578878</v>
      </c>
      <c r="Y64" s="184">
        <f t="shared" si="66"/>
        <v>49.443141041578876</v>
      </c>
      <c r="Z64" s="184">
        <v>8.7320954889180484</v>
      </c>
      <c r="AA64" s="184">
        <v>1.2984873902839906</v>
      </c>
      <c r="AB64" s="184">
        <f>Z64*conversions!$C$6/conversions!$C$8</f>
        <v>31.996430055474143</v>
      </c>
      <c r="AC64" s="184">
        <f>AA64*conversions!$C$6/conversions!$C$8</f>
        <v>4.7579599895425266</v>
      </c>
      <c r="AD64" s="184">
        <f t="shared" si="7"/>
        <v>36.75439004501667</v>
      </c>
      <c r="AE64" s="212">
        <f t="shared" si="43"/>
        <v>10844.240974173974</v>
      </c>
      <c r="AF64" s="212">
        <f t="shared" si="44"/>
        <v>3.3893003791181724</v>
      </c>
      <c r="AG64" s="184">
        <f>M64*conversions!$C$1*1000000/data!L64</f>
        <v>20114.559443696035</v>
      </c>
      <c r="AH64" s="184">
        <f>N64*conversions!$C$1*1000/C64</f>
        <v>51871.414882799123</v>
      </c>
      <c r="AI64" s="184">
        <f>O64*conversions!$C$1*1000/D64</f>
        <v>12823.330853601967</v>
      </c>
      <c r="AK64" s="192">
        <f t="shared" si="84"/>
        <v>20114.559443696035</v>
      </c>
      <c r="AL64" s="192">
        <f t="shared" si="85"/>
        <v>136559527661467.38</v>
      </c>
      <c r="AM64" s="192">
        <f>data!AL64/(1000000*conversions!$C$1)</f>
        <v>11705.102370982919</v>
      </c>
      <c r="AN64" s="192">
        <f t="shared" si="47"/>
        <v>11705.102370982919</v>
      </c>
      <c r="AO64" s="212">
        <f t="shared" si="72"/>
        <v>1.3067435139167354</v>
      </c>
      <c r="AP64" s="212">
        <f t="shared" si="76"/>
        <v>1.2823490724613564</v>
      </c>
      <c r="AQ64" s="212">
        <f t="shared" si="73"/>
        <v>1.0581917266274388E-3</v>
      </c>
      <c r="AR64" s="212">
        <f t="shared" si="96"/>
        <v>40.008875448112008</v>
      </c>
      <c r="AS64" s="212">
        <f t="shared" si="74"/>
        <v>12.882957521383013</v>
      </c>
      <c r="AT64" s="212">
        <f t="shared" si="86"/>
        <v>6.0902609217159216E-3</v>
      </c>
      <c r="AU64" s="212">
        <f t="shared" si="67"/>
        <v>4.2240673745963112E-3</v>
      </c>
      <c r="BR64" s="212" t="str">
        <f t="shared" si="87"/>
        <v/>
      </c>
      <c r="CD64" s="173">
        <f t="shared" si="63"/>
        <v>2008</v>
      </c>
      <c r="CE64" s="173">
        <f t="shared" si="88"/>
        <v>4142.8526399668344</v>
      </c>
      <c r="CF64" s="173">
        <f t="shared" si="89"/>
        <v>2578.4699868551606</v>
      </c>
      <c r="CG64" s="173">
        <f t="shared" si="90"/>
        <v>3503.4087256644298</v>
      </c>
      <c r="CH64" s="173">
        <f t="shared" si="91"/>
        <v>619.50962168754768</v>
      </c>
      <c r="CI64" s="173"/>
      <c r="CJ64" s="173">
        <f t="shared" si="92"/>
        <v>736.80822433706885</v>
      </c>
      <c r="CK64" s="173">
        <f t="shared" si="93"/>
        <v>120.73026859626052</v>
      </c>
      <c r="CL64" s="173">
        <v>0</v>
      </c>
      <c r="CM64" s="173">
        <f t="shared" si="65"/>
        <v>2.8560753855666854</v>
      </c>
      <c r="CN64" s="173">
        <f t="shared" si="62"/>
        <v>49.909969531624988</v>
      </c>
      <c r="CO64" s="173"/>
      <c r="CP64" s="174"/>
      <c r="CQ64" s="174"/>
      <c r="CR64" s="174"/>
      <c r="CT64" s="190">
        <f t="shared" si="94"/>
        <v>5.4137442918666698</v>
      </c>
      <c r="CU64" s="190">
        <f t="shared" si="95"/>
        <v>36.75439004501667</v>
      </c>
      <c r="CV64" s="198">
        <f t="shared" si="59"/>
        <v>1869.8342334851147</v>
      </c>
      <c r="CW64" s="198">
        <f t="shared" si="60"/>
        <v>1869.8342334851147</v>
      </c>
      <c r="CX64" s="198">
        <v>1869.8342334851147</v>
      </c>
      <c r="CY64" s="198">
        <f t="shared" si="61"/>
        <v>0</v>
      </c>
      <c r="CZ64" s="199">
        <f>IF(CX64&lt;intermediates!$B$55,intermediates!$B$56+(CX64-intermediates!$B$55)*intermediates!$B$53,intermediates!$B$56+(data!CX64-intermediates!$B$55)*intermediates!$B$58)</f>
        <v>0.9859070470088015</v>
      </c>
      <c r="DA64" s="220">
        <v>1500165.86</v>
      </c>
      <c r="DB64" s="220">
        <v>3337377.9</v>
      </c>
      <c r="DC64" s="220">
        <v>4022500.8522000001</v>
      </c>
      <c r="DD64" s="209">
        <f t="shared" si="33"/>
        <v>1.0728306989389409E-3</v>
      </c>
      <c r="DE64" s="209">
        <f t="shared" si="34"/>
        <v>-3.3968321205100414E-3</v>
      </c>
      <c r="DF64" s="209">
        <f t="shared" si="75"/>
        <v>-8.5367105045434921E-4</v>
      </c>
      <c r="DG64" s="201">
        <f t="shared" si="77"/>
        <v>15001658600000.002</v>
      </c>
      <c r="DH64" s="201">
        <f t="shared" si="77"/>
        <v>33373779000000</v>
      </c>
      <c r="DI64" s="201">
        <f t="shared" si="77"/>
        <v>40225008522000</v>
      </c>
      <c r="DJ64" s="220">
        <v>1.07353276992414E+16</v>
      </c>
      <c r="DK64" s="220">
        <v>1368426586802830</v>
      </c>
      <c r="DL64" s="220">
        <v>1.21037542860442E+16</v>
      </c>
      <c r="DM64" s="220">
        <v>2679126794480580</v>
      </c>
      <c r="DN64" s="220">
        <v>79807359251563.797</v>
      </c>
      <c r="DO64" s="220">
        <v>2758934153732150</v>
      </c>
      <c r="DP64" s="220">
        <v>5614964899574350</v>
      </c>
      <c r="DQ64" s="220">
        <v>1171125584998040</v>
      </c>
      <c r="DR64" s="220">
        <v>6786090484572390</v>
      </c>
      <c r="DS64" s="220">
        <v>1429101367149510</v>
      </c>
      <c r="DT64" s="220">
        <v>97756299608888</v>
      </c>
      <c r="DU64" s="220">
        <v>1526857666758390</v>
      </c>
      <c r="DV64" s="220">
        <v>2049961792245050</v>
      </c>
      <c r="DW64" s="220">
        <v>2401058535180.0601</v>
      </c>
      <c r="DX64" s="220">
        <v>2052362850780230</v>
      </c>
      <c r="DY64" s="220">
        <v>284778982410421</v>
      </c>
      <c r="DZ64" s="220">
        <v>6369331360831.6299</v>
      </c>
      <c r="EA64" s="220">
        <v>291148313771253</v>
      </c>
      <c r="EB64" s="220">
        <v>470565452739005</v>
      </c>
      <c r="EC64" s="220">
        <v>17647148437341.699</v>
      </c>
      <c r="ED64" s="220">
        <v>488212601176346</v>
      </c>
      <c r="EE64" s="212">
        <f t="shared" si="78"/>
        <v>2738.5161135888993</v>
      </c>
      <c r="EG64" s="212">
        <f t="shared" si="10"/>
        <v>0.17257736065566709</v>
      </c>
      <c r="EI64" s="212">
        <f t="shared" si="35"/>
        <v>0.17257736065566709</v>
      </c>
      <c r="EJ64" s="212">
        <v>0.30167756610747798</v>
      </c>
      <c r="EK64" s="212">
        <v>0.21867651998656365</v>
      </c>
      <c r="EL64" s="212">
        <v>8.8586732591676973E-2</v>
      </c>
      <c r="EM64" s="212">
        <v>0.2743243243243243</v>
      </c>
      <c r="EN64" s="212">
        <f t="shared" si="79"/>
        <v>2265.9102305927122</v>
      </c>
      <c r="EP64" s="212">
        <f t="shared" si="80"/>
        <v>472.60588299618729</v>
      </c>
      <c r="ER64" s="215">
        <f t="shared" si="13"/>
        <v>715.60938596758888</v>
      </c>
      <c r="ES64" s="209">
        <f t="shared" si="42"/>
        <v>42.496384098034582</v>
      </c>
      <c r="EU64" s="215">
        <f t="shared" si="14"/>
        <v>715.60938596758888</v>
      </c>
      <c r="EV64" s="216">
        <f>data!EU64*conversions!$C$13</f>
        <v>0.83225371588030583</v>
      </c>
      <c r="EW64" s="217">
        <f t="shared" si="15"/>
        <v>2.4388432175944465E-2</v>
      </c>
      <c r="EX64" s="217"/>
      <c r="EZ64" s="217">
        <f t="shared" si="36"/>
        <v>2.4388432175944465E-2</v>
      </c>
      <c r="FA64" s="212">
        <f t="shared" si="16"/>
        <v>1.9578155089342784</v>
      </c>
      <c r="FD64" s="212">
        <f t="shared" si="37"/>
        <v>1.9578155089342784</v>
      </c>
      <c r="FE64" s="184">
        <f t="shared" si="17"/>
        <v>0.85581908177788268</v>
      </c>
      <c r="FG64" s="184">
        <f t="shared" si="38"/>
        <v>0.85581908177788268</v>
      </c>
      <c r="FH64" s="184">
        <f t="shared" si="18"/>
        <v>2.6527274284374625E-2</v>
      </c>
      <c r="FJ64" s="184">
        <f t="shared" si="39"/>
        <v>2.6527274284374625E-2</v>
      </c>
      <c r="FK64" s="184">
        <f t="shared" si="19"/>
        <v>4.3833357110492022E-2</v>
      </c>
      <c r="FM64" s="184">
        <f t="shared" si="40"/>
        <v>4.3833357110492022E-2</v>
      </c>
      <c r="FN64" s="218"/>
      <c r="FO64" s="218">
        <f t="shared" si="81"/>
        <v>1171125584998040</v>
      </c>
      <c r="FP64" s="218">
        <f t="shared" si="21"/>
        <v>1368426586802830</v>
      </c>
      <c r="FQ64" s="218">
        <f t="shared" si="22"/>
        <v>33373779000000</v>
      </c>
      <c r="FR64" s="218">
        <f t="shared" si="23"/>
        <v>2679126794480580</v>
      </c>
      <c r="FS64" s="218">
        <f t="shared" si="24"/>
        <v>3743839651932.5728</v>
      </c>
      <c r="FT64" s="218">
        <f>intermediates!$B$69*data!EU64/intermediates!$B$71</f>
        <v>1.8214647476549366</v>
      </c>
      <c r="FU64" s="218">
        <f>(Y64+W64)*conversions!$C$1*1000000</f>
        <v>1408519800289.7058</v>
      </c>
      <c r="FV64" s="218">
        <f t="shared" si="41"/>
        <v>773289629735.14526</v>
      </c>
      <c r="FW64" s="221">
        <f t="shared" si="25"/>
        <v>1818769996685.1775</v>
      </c>
      <c r="FX64" s="221">
        <f t="shared" si="26"/>
        <v>1045480366950.0322</v>
      </c>
      <c r="FY64" s="221">
        <f>FX64*intermediates!$B$72*1000*ER64/(intermediates!$B$71*10000*1000000000)</f>
        <v>152.34445062118647</v>
      </c>
      <c r="FZ64" s="221">
        <f t="shared" si="82"/>
        <v>22.439602424033041</v>
      </c>
      <c r="GA64" s="218"/>
      <c r="GB64" s="218"/>
      <c r="GC64" s="218">
        <f t="shared" si="83"/>
        <v>7846410359727.5361</v>
      </c>
      <c r="GD64" s="218">
        <f t="shared" si="29"/>
        <v>13409020008345.285</v>
      </c>
      <c r="GE64" s="218">
        <f t="shared" si="30"/>
        <v>14423894319863.727</v>
      </c>
      <c r="GF64" s="218">
        <f t="shared" si="31"/>
        <v>382626600871.85828</v>
      </c>
      <c r="GG64" s="218">
        <f t="shared" si="32"/>
        <v>632247710646.58411</v>
      </c>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188">
        <f t="shared" si="64"/>
        <v>2008</v>
      </c>
      <c r="HN64" s="185">
        <f t="shared" si="68"/>
        <v>2209.671919866184</v>
      </c>
      <c r="HO64" s="185">
        <f t="shared" si="69"/>
        <v>4915.7965983921085</v>
      </c>
      <c r="HP64" s="185">
        <f t="shared" si="70"/>
        <v>5924.9496457305959</v>
      </c>
      <c r="IC64" s="185">
        <f t="shared" si="71"/>
        <v>7125.4685182582925</v>
      </c>
    </row>
    <row r="65" spans="1:240" x14ac:dyDescent="0.3">
      <c r="A65" s="184">
        <v>2009</v>
      </c>
      <c r="B65" s="207">
        <v>6872766.9879999999</v>
      </c>
      <c r="C65" s="207">
        <v>1276937.3399999999</v>
      </c>
      <c r="D65" s="207">
        <f t="shared" si="1"/>
        <v>5595829.648</v>
      </c>
      <c r="H65" s="207">
        <f t="shared" si="5"/>
        <v>6872766988</v>
      </c>
      <c r="L65" s="187">
        <f t="shared" si="6"/>
        <v>6872766988</v>
      </c>
      <c r="M65" s="184">
        <v>11540.305729326818</v>
      </c>
      <c r="N65" s="184">
        <v>5365.0830007041013</v>
      </c>
      <c r="O65" s="184">
        <v>6175.2227286227135</v>
      </c>
      <c r="P65" s="184">
        <v>4073.4424498164153</v>
      </c>
      <c r="Q65" s="184">
        <v>2526.0244016285865</v>
      </c>
      <c r="R65" s="184">
        <v>3450.6420159179906</v>
      </c>
      <c r="S65" s="184">
        <v>610.77187898791863</v>
      </c>
      <c r="T65" s="184">
        <v>735.43992264656833</v>
      </c>
      <c r="U65" s="184">
        <v>4.7438619441476018</v>
      </c>
      <c r="V65" s="184">
        <v>62.440442848720885</v>
      </c>
      <c r="W65" s="184">
        <v>76.800755536459263</v>
      </c>
      <c r="X65" s="184">
        <v>54603.480994338759</v>
      </c>
      <c r="Y65" s="184">
        <f t="shared" si="66"/>
        <v>54.60348099433876</v>
      </c>
      <c r="Z65" s="184">
        <v>8.6059679997301757</v>
      </c>
      <c r="AA65" s="184">
        <v>1.5042493428983335</v>
      </c>
      <c r="AB65" s="184">
        <f>Z65*conversions!$C$6/conversions!$C$8</f>
        <v>31.534269581966498</v>
      </c>
      <c r="AC65" s="184">
        <f>AA65*conversions!$C$6/conversions!$C$8</f>
        <v>5.511919670040518</v>
      </c>
      <c r="AD65" s="184">
        <f t="shared" si="7"/>
        <v>37.046189252007018</v>
      </c>
      <c r="AE65" s="212">
        <f t="shared" si="43"/>
        <v>10660.880746350911</v>
      </c>
      <c r="AF65" s="212">
        <f t="shared" si="44"/>
        <v>3.4749651678345126</v>
      </c>
      <c r="AG65" s="184">
        <f>M65*conversions!$C$1*1000000/data!L65</f>
        <v>19589.911954029358</v>
      </c>
      <c r="AH65" s="184">
        <f>N65*conversions!$C$1*1000/C65</f>
        <v>49017.781098181775</v>
      </c>
      <c r="AI65" s="184">
        <f>O65*conversions!$C$1*1000/D65</f>
        <v>12874.635165674541</v>
      </c>
      <c r="AK65" s="192">
        <f t="shared" si="84"/>
        <v>19589.911954029358</v>
      </c>
      <c r="AL65" s="192">
        <f t="shared" si="85"/>
        <v>134636900175479.55</v>
      </c>
      <c r="AM65" s="192">
        <f>data!AL65/(1000000*conversions!$C$1)</f>
        <v>11540.305729326819</v>
      </c>
      <c r="AN65" s="192">
        <f t="shared" si="47"/>
        <v>11540.305729326819</v>
      </c>
      <c r="AO65" s="212">
        <f t="shared" si="72"/>
        <v>1.2732488269360362</v>
      </c>
      <c r="AP65" s="212">
        <f t="shared" si="76"/>
        <v>1.2937487278280895</v>
      </c>
      <c r="AQ65" s="212">
        <f t="shared" si="73"/>
        <v>1.2493828338565062E-3</v>
      </c>
      <c r="AR65" s="212">
        <f t="shared" si="96"/>
        <v>-1.3683016905005161</v>
      </c>
      <c r="AS65" s="212">
        <f t="shared" si="74"/>
        <v>5.1603399527598839</v>
      </c>
      <c r="AT65" s="212">
        <f t="shared" si="86"/>
        <v>6.6550018117188378E-3</v>
      </c>
      <c r="AU65" s="212">
        <f t="shared" si="67"/>
        <v>4.7315454438592195E-3</v>
      </c>
      <c r="BR65" s="212" t="str">
        <f t="shared" si="87"/>
        <v/>
      </c>
      <c r="CD65" s="173">
        <f t="shared" si="63"/>
        <v>2009</v>
      </c>
      <c r="CE65" s="173">
        <f t="shared" si="88"/>
        <v>4073.4424498164153</v>
      </c>
      <c r="CF65" s="173">
        <f t="shared" si="89"/>
        <v>2526.0244016285865</v>
      </c>
      <c r="CG65" s="173">
        <f t="shared" si="90"/>
        <v>3450.6420159179906</v>
      </c>
      <c r="CH65" s="173">
        <f t="shared" si="91"/>
        <v>610.77187898791863</v>
      </c>
      <c r="CI65" s="173"/>
      <c r="CJ65" s="173">
        <f t="shared" si="92"/>
        <v>735.43992264656833</v>
      </c>
      <c r="CK65" s="173">
        <f t="shared" si="93"/>
        <v>131.40423653079802</v>
      </c>
      <c r="CL65" s="173">
        <v>0</v>
      </c>
      <c r="CM65" s="173">
        <f t="shared" si="65"/>
        <v>4.7438619441476018</v>
      </c>
      <c r="CN65" s="173">
        <f t="shared" si="62"/>
        <v>62.440442848720885</v>
      </c>
      <c r="CO65" s="173"/>
      <c r="CP65" s="174"/>
      <c r="CQ65" s="174"/>
      <c r="CR65" s="174"/>
      <c r="CT65" s="190">
        <f t="shared" si="94"/>
        <v>5.3902873932275703</v>
      </c>
      <c r="CU65" s="190">
        <f t="shared" si="95"/>
        <v>37.046189252007018</v>
      </c>
      <c r="CV65" s="198">
        <f t="shared" si="59"/>
        <v>1906.8804227371215</v>
      </c>
      <c r="CW65" s="198">
        <f t="shared" si="60"/>
        <v>1906.8804227371215</v>
      </c>
      <c r="CX65" s="198">
        <v>1906.8804227371215</v>
      </c>
      <c r="CY65" s="198">
        <f t="shared" si="61"/>
        <v>0</v>
      </c>
      <c r="CZ65" s="199">
        <f>IF(CX65&lt;intermediates!$B$55,intermediates!$B$56+(CX65-intermediates!$B$55)*intermediates!$B$53,intermediates!$B$56+(data!CX65-intermediates!$B$55)*intermediates!$B$58)</f>
        <v>1.0060527535252211</v>
      </c>
      <c r="DA65" s="220">
        <v>1502592</v>
      </c>
      <c r="DB65" s="220">
        <v>3328764.66</v>
      </c>
      <c r="DC65" s="220">
        <v>4019086.9076</v>
      </c>
      <c r="DD65" s="209">
        <f t="shared" si="33"/>
        <v>1.5538864343891464E-3</v>
      </c>
      <c r="DE65" s="209">
        <f t="shared" si="34"/>
        <v>-2.6369029482844379E-3</v>
      </c>
      <c r="DF65" s="209">
        <f t="shared" si="75"/>
        <v>-8.5367105045434921E-4</v>
      </c>
      <c r="DG65" s="201">
        <f t="shared" si="77"/>
        <v>15025920000000</v>
      </c>
      <c r="DH65" s="201">
        <f t="shared" si="77"/>
        <v>33287646600000</v>
      </c>
      <c r="DI65" s="201">
        <f t="shared" si="77"/>
        <v>40190869076000</v>
      </c>
      <c r="DJ65" s="220">
        <v>1.06223474272459E+16</v>
      </c>
      <c r="DK65" s="220">
        <v>1384594609405860</v>
      </c>
      <c r="DL65" s="220">
        <v>1.20069420366517E+16</v>
      </c>
      <c r="DM65" s="220">
        <v>2544591466531110</v>
      </c>
      <c r="DN65" s="220">
        <v>79185693817948.906</v>
      </c>
      <c r="DO65" s="220">
        <v>2623777160349050</v>
      </c>
      <c r="DP65" s="220">
        <v>5680390762144460</v>
      </c>
      <c r="DQ65" s="220">
        <v>1189520249358530</v>
      </c>
      <c r="DR65" s="220">
        <v>6869911011503000</v>
      </c>
      <c r="DS65" s="220">
        <v>1583371693390830</v>
      </c>
      <c r="DT65" s="220">
        <v>96586408610099.703</v>
      </c>
      <c r="DU65" s="220">
        <v>1679958102000930</v>
      </c>
      <c r="DV65" s="220">
        <v>2084677908599620</v>
      </c>
      <c r="DW65" s="220">
        <v>2540775507770.3701</v>
      </c>
      <c r="DX65" s="220">
        <v>2087218684107390</v>
      </c>
      <c r="DY65" s="220">
        <v>285213714060945</v>
      </c>
      <c r="DZ65" s="220">
        <v>6598345510458.1504</v>
      </c>
      <c r="EA65" s="220">
        <v>291812059571403</v>
      </c>
      <c r="EB65" s="220">
        <v>471326744787025</v>
      </c>
      <c r="EC65" s="220">
        <v>17516113838827.9</v>
      </c>
      <c r="ED65" s="220">
        <v>488842858625853</v>
      </c>
      <c r="EE65" s="212">
        <f t="shared" si="78"/>
        <v>2738.5875349740299</v>
      </c>
      <c r="EG65" s="212">
        <f t="shared" si="10"/>
        <v>0.17314929514615163</v>
      </c>
      <c r="EI65" s="212">
        <f t="shared" si="35"/>
        <v>0.17314929514615163</v>
      </c>
      <c r="EJ65" s="212">
        <v>0.30554765291607394</v>
      </c>
      <c r="EK65" s="212">
        <v>0.22311289245156982</v>
      </c>
      <c r="EL65" s="212">
        <v>9.1097308488612833E-2</v>
      </c>
      <c r="EM65" s="212">
        <v>0.27434842249657065</v>
      </c>
      <c r="EN65" s="212">
        <f t="shared" si="79"/>
        <v>2264.4030335972357</v>
      </c>
      <c r="EP65" s="212">
        <f t="shared" si="80"/>
        <v>474.18450137679014</v>
      </c>
      <c r="ER65" s="215">
        <f t="shared" si="13"/>
        <v>706.93491162244311</v>
      </c>
      <c r="ES65" s="209">
        <f t="shared" si="42"/>
        <v>-8.674474345145768</v>
      </c>
      <c r="EU65" s="215">
        <f t="shared" si="14"/>
        <v>706.93491162244311</v>
      </c>
      <c r="EV65" s="216">
        <f>data!EU65*conversions!$C$13</f>
        <v>0.82216530221690132</v>
      </c>
      <c r="EW65" s="217">
        <f t="shared" si="15"/>
        <v>2.4041438825393072E-2</v>
      </c>
      <c r="EX65" s="217"/>
      <c r="EZ65" s="217">
        <f t="shared" si="36"/>
        <v>2.4041438825393072E-2</v>
      </c>
      <c r="FA65" s="212">
        <f t="shared" si="16"/>
        <v>1.8377880783625276</v>
      </c>
      <c r="FD65" s="212">
        <f t="shared" si="37"/>
        <v>1.8377880783625276</v>
      </c>
      <c r="FE65" s="184">
        <f t="shared" si="17"/>
        <v>0.85911084824240513</v>
      </c>
      <c r="FG65" s="184">
        <f t="shared" si="38"/>
        <v>0.85911084824240513</v>
      </c>
      <c r="FH65" s="184">
        <f t="shared" si="18"/>
        <v>2.6850346970330036E-2</v>
      </c>
      <c r="FJ65" s="184">
        <f t="shared" si="39"/>
        <v>2.6850346970330036E-2</v>
      </c>
      <c r="FK65" s="184">
        <f t="shared" si="19"/>
        <v>4.4371241669058065E-2</v>
      </c>
      <c r="FM65" s="184">
        <f t="shared" si="40"/>
        <v>4.4371241669058065E-2</v>
      </c>
      <c r="FN65" s="218"/>
      <c r="FO65" s="218">
        <f t="shared" si="81"/>
        <v>1189520249358530</v>
      </c>
      <c r="FP65" s="218">
        <f t="shared" si="21"/>
        <v>1384594609405860</v>
      </c>
      <c r="FQ65" s="218">
        <f t="shared" si="22"/>
        <v>33287646599999.996</v>
      </c>
      <c r="FR65" s="218">
        <f t="shared" si="23"/>
        <v>2544591466531110</v>
      </c>
      <c r="FS65" s="218">
        <f t="shared" si="24"/>
        <v>3599470650970.0781</v>
      </c>
      <c r="FT65" s="218">
        <f>intermediates!$B$69*data!EU65/intermediates!$B$71</f>
        <v>1.7993853150287751</v>
      </c>
      <c r="FU65" s="218">
        <f>(Y65+W65)*conversions!$C$1*1000000</f>
        <v>1533049426192.6433</v>
      </c>
      <c r="FV65" s="218">
        <f t="shared" si="41"/>
        <v>851985071450.98462</v>
      </c>
      <c r="FW65" s="221">
        <f t="shared" si="25"/>
        <v>2015104733461.8953</v>
      </c>
      <c r="FX65" s="221">
        <f t="shared" si="26"/>
        <v>1163119662010.9106</v>
      </c>
      <c r="FY65" s="221">
        <f>FX65*intermediates!$B$72*1000*ER65/(intermediates!$B$71*10000*1000000000)</f>
        <v>167.43203515549317</v>
      </c>
      <c r="FZ65" s="221">
        <f t="shared" si="82"/>
        <v>24.361663278826871</v>
      </c>
      <c r="GA65" s="218"/>
      <c r="GB65" s="218"/>
      <c r="GC65" s="218">
        <f t="shared" si="83"/>
        <v>8035238702680.1973</v>
      </c>
      <c r="GD65" s="218">
        <f t="shared" si="29"/>
        <v>13649814087112.17</v>
      </c>
      <c r="GE65" s="218">
        <f t="shared" si="30"/>
        <v>14696523864196.955</v>
      </c>
      <c r="GF65" s="218">
        <f t="shared" si="31"/>
        <v>394606765011.42377</v>
      </c>
      <c r="GG65" s="218">
        <f t="shared" si="32"/>
        <v>652103012073.36218</v>
      </c>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188">
        <f t="shared" si="64"/>
        <v>2009</v>
      </c>
      <c r="HN65" s="185">
        <f t="shared" si="68"/>
        <v>2186.2984771978422</v>
      </c>
      <c r="HO65" s="185">
        <f t="shared" si="69"/>
        <v>4843.412654338631</v>
      </c>
      <c r="HP65" s="185">
        <f t="shared" si="70"/>
        <v>5847.8439828054879</v>
      </c>
      <c r="IC65" s="185">
        <f t="shared" si="71"/>
        <v>7029.7111315364737</v>
      </c>
    </row>
    <row r="66" spans="1:240" x14ac:dyDescent="0.3">
      <c r="A66" s="211">
        <v>2010</v>
      </c>
      <c r="B66" s="207">
        <v>6956823.5880000005</v>
      </c>
      <c r="C66" s="207">
        <v>1285965.274</v>
      </c>
      <c r="D66" s="207">
        <f t="shared" si="1"/>
        <v>5670858.3140000002</v>
      </c>
      <c r="H66" s="207">
        <f t="shared" si="5"/>
        <v>6956823588</v>
      </c>
      <c r="L66" s="187">
        <f t="shared" si="6"/>
        <v>6956823588</v>
      </c>
      <c r="M66" s="184">
        <v>12099.939275395167</v>
      </c>
      <c r="N66" s="184">
        <v>5570.8462480283852</v>
      </c>
      <c r="O66" s="184">
        <v>6529.0930273667782</v>
      </c>
      <c r="P66" s="184">
        <v>4201.9450001766081</v>
      </c>
      <c r="Q66" s="184">
        <v>2714.2731270827999</v>
      </c>
      <c r="R66" s="184">
        <v>3610.0672795758196</v>
      </c>
      <c r="S66" s="184">
        <v>626.21799666525988</v>
      </c>
      <c r="T66" s="184">
        <v>776.79073572133836</v>
      </c>
      <c r="U66" s="184">
        <v>7.6216584276547659</v>
      </c>
      <c r="V66" s="184">
        <v>77.298836576923392</v>
      </c>
      <c r="W66" s="184">
        <v>85.724641168752214</v>
      </c>
      <c r="X66" s="184">
        <v>63151.870936663043</v>
      </c>
      <c r="Y66" s="184">
        <f t="shared" si="66"/>
        <v>63.151870936663045</v>
      </c>
      <c r="Z66" s="184">
        <v>9.0478138387496116</v>
      </c>
      <c r="AA66" s="184">
        <v>1.3846450450935239</v>
      </c>
      <c r="AB66" s="184">
        <f>Z66*conversions!$C$6/conversions!$C$8</f>
        <v>33.153295565068674</v>
      </c>
      <c r="AC66" s="184">
        <f>AA66*conversions!$C$6/conversions!$C$8</f>
        <v>5.0736616878754761</v>
      </c>
      <c r="AD66" s="184">
        <f t="shared" si="7"/>
        <v>38.226957252944153</v>
      </c>
      <c r="AE66" s="212">
        <f t="shared" si="43"/>
        <v>11152.503403500488</v>
      </c>
      <c r="AF66" s="212">
        <f t="shared" si="44"/>
        <v>3.4276570801983057</v>
      </c>
      <c r="AG66" s="184">
        <f>M66*conversions!$C$1*1000000/data!L66</f>
        <v>20291.726019392576</v>
      </c>
      <c r="AH66" s="184">
        <f>N66*conversions!$C$1*1000/C66</f>
        <v>50540.405360120036</v>
      </c>
      <c r="AI66" s="184">
        <f>O66*conversions!$C$1*1000/D66</f>
        <v>13432.314434288252</v>
      </c>
      <c r="AK66" s="192">
        <f t="shared" si="84"/>
        <v>20291.726019392576</v>
      </c>
      <c r="AL66" s="192">
        <f t="shared" si="85"/>
        <v>141165958212943.63</v>
      </c>
      <c r="AM66" s="192">
        <f>data!AL66/(1000000*conversions!$C$1)</f>
        <v>12099.939275395169</v>
      </c>
      <c r="AN66" s="192">
        <f t="shared" si="47"/>
        <v>12099.939275395169</v>
      </c>
      <c r="AO66" s="212">
        <f t="shared" si="72"/>
        <v>1.2639930600813829</v>
      </c>
      <c r="AP66" s="212">
        <f t="shared" si="76"/>
        <v>1.2851456940090054</v>
      </c>
      <c r="AQ66" s="212">
        <f t="shared" si="73"/>
        <v>1.4658082001928416E-3</v>
      </c>
      <c r="AR66" s="212">
        <f t="shared" si="96"/>
        <v>41.350813074770031</v>
      </c>
      <c r="AS66" s="212">
        <f t="shared" si="74"/>
        <v>8.5483899423242846</v>
      </c>
      <c r="AT66" s="212">
        <f t="shared" si="86"/>
        <v>7.0847166434190685E-3</v>
      </c>
      <c r="AU66" s="212">
        <f t="shared" si="67"/>
        <v>5.2191890801535105E-3</v>
      </c>
      <c r="BR66" s="212" t="str">
        <f t="shared" si="87"/>
        <v/>
      </c>
      <c r="CD66" s="173">
        <f t="shared" si="63"/>
        <v>2010</v>
      </c>
      <c r="CE66" s="173">
        <f t="shared" si="88"/>
        <v>4201.9450001766081</v>
      </c>
      <c r="CF66" s="173">
        <f t="shared" si="89"/>
        <v>2714.2731270827999</v>
      </c>
      <c r="CG66" s="173">
        <f t="shared" si="90"/>
        <v>3610.0672795758196</v>
      </c>
      <c r="CH66" s="173">
        <f t="shared" si="91"/>
        <v>626.21799666525988</v>
      </c>
      <c r="CI66" s="173"/>
      <c r="CJ66" s="173">
        <f t="shared" si="92"/>
        <v>776.79073572133836</v>
      </c>
      <c r="CK66" s="173">
        <f t="shared" si="93"/>
        <v>148.87651210541526</v>
      </c>
      <c r="CL66" s="173">
        <v>0</v>
      </c>
      <c r="CM66" s="173">
        <f t="shared" si="65"/>
        <v>7.6216584276547659</v>
      </c>
      <c r="CN66" s="173">
        <f t="shared" si="62"/>
        <v>77.298836576923392</v>
      </c>
      <c r="CO66" s="173"/>
      <c r="CP66" s="174"/>
      <c r="CQ66" s="174"/>
      <c r="CR66" s="174"/>
      <c r="CT66" s="190">
        <f t="shared" si="94"/>
        <v>5.4948866777192382</v>
      </c>
      <c r="CU66" s="190">
        <f t="shared" si="95"/>
        <v>38.226957252944153</v>
      </c>
      <c r="CV66" s="198">
        <f t="shared" si="59"/>
        <v>1945.1073799900657</v>
      </c>
      <c r="CW66" s="198">
        <f t="shared" si="60"/>
        <v>1945.1073799900657</v>
      </c>
      <c r="CX66" s="198">
        <v>1945.1073799900657</v>
      </c>
      <c r="CY66" s="198">
        <f t="shared" si="61"/>
        <v>0</v>
      </c>
      <c r="CZ66" s="199">
        <f>IF(CX66&lt;intermediates!$B$55,intermediates!$B$56+(CX66-intermediates!$B$55)*intermediates!$B$53,intermediates!$B$56+(data!CX66-intermediates!$B$55)*intermediates!$B$58)</f>
        <v>1.0268405613236118</v>
      </c>
      <c r="DA66" s="220">
        <v>1505940.07</v>
      </c>
      <c r="DB66" s="220">
        <v>3329955.96</v>
      </c>
      <c r="DC66" s="220">
        <v>4015672.963</v>
      </c>
      <c r="DD66" s="209">
        <f t="shared" si="33"/>
        <v>2.1443612299313275E-3</v>
      </c>
      <c r="DE66" s="209">
        <f t="shared" si="34"/>
        <v>3.6471089651406998E-4</v>
      </c>
      <c r="DF66" s="209">
        <f t="shared" si="75"/>
        <v>-8.5367105045434921E-4</v>
      </c>
      <c r="DG66" s="201">
        <f t="shared" si="77"/>
        <v>15059400700000</v>
      </c>
      <c r="DH66" s="201">
        <f t="shared" si="77"/>
        <v>33299559600000</v>
      </c>
      <c r="DI66" s="201">
        <f t="shared" si="77"/>
        <v>40156729630000</v>
      </c>
      <c r="DJ66" s="220">
        <v>1.0782072563592E+16</v>
      </c>
      <c r="DK66" s="220">
        <v>1413109517959670</v>
      </c>
      <c r="DL66" s="220">
        <v>1.21951820815516E+16</v>
      </c>
      <c r="DM66" s="220">
        <v>2572722681532430</v>
      </c>
      <c r="DN66" s="220">
        <v>78750338538160.594</v>
      </c>
      <c r="DO66" s="220">
        <v>2651473020070590</v>
      </c>
      <c r="DP66" s="220">
        <v>5790435429171110</v>
      </c>
      <c r="DQ66" s="220">
        <v>1218467665823370</v>
      </c>
      <c r="DR66" s="220">
        <v>7008903094994490</v>
      </c>
      <c r="DS66" s="220">
        <v>1709386448678010</v>
      </c>
      <c r="DT66" s="220">
        <v>94955355927182.594</v>
      </c>
      <c r="DU66" s="220">
        <v>1804341804605190</v>
      </c>
      <c r="DV66" s="220">
        <v>2202449904663380</v>
      </c>
      <c r="DW66" s="220">
        <v>2351013879590.2998</v>
      </c>
      <c r="DX66" s="220">
        <v>2204800918542970</v>
      </c>
      <c r="DY66" s="220">
        <v>285327278313667</v>
      </c>
      <c r="DZ66" s="220">
        <v>6878788344814.5098</v>
      </c>
      <c r="EA66" s="220">
        <v>292206066658481</v>
      </c>
      <c r="EB66" s="220">
        <v>495222917141644</v>
      </c>
      <c r="EC66" s="220">
        <v>17041725346227.6</v>
      </c>
      <c r="ED66" s="220">
        <v>512264642487872</v>
      </c>
      <c r="EE66" s="212">
        <f t="shared" si="78"/>
        <v>2760.2359021988782</v>
      </c>
      <c r="EG66" s="212">
        <f t="shared" si="10"/>
        <v>0.17384570014865186</v>
      </c>
      <c r="EI66" s="212">
        <f t="shared" si="35"/>
        <v>0.17384570014865186</v>
      </c>
      <c r="EJ66" s="212">
        <v>0.3079337899543379</v>
      </c>
      <c r="EK66" s="212">
        <v>0.22568988173455978</v>
      </c>
      <c r="EL66" s="212">
        <v>9.2137592137592136E-2</v>
      </c>
      <c r="EM66" s="212">
        <v>0.27369863013698631</v>
      </c>
      <c r="EN66" s="212">
        <f t="shared" si="79"/>
        <v>2280.3807592056646</v>
      </c>
      <c r="EP66" s="212">
        <f t="shared" si="80"/>
        <v>479.85514299320965</v>
      </c>
      <c r="ER66" s="215">
        <f t="shared" si="13"/>
        <v>715.96956468473547</v>
      </c>
      <c r="ES66" s="209">
        <f t="shared" si="42"/>
        <v>9.0346530622923638</v>
      </c>
      <c r="EU66" s="215">
        <f t="shared" si="14"/>
        <v>715.96956468473547</v>
      </c>
      <c r="EV66" s="216">
        <f>data!EU66*conversions!$C$13</f>
        <v>0.83267260372834728</v>
      </c>
      <c r="EW66" s="217">
        <f t="shared" si="15"/>
        <v>2.3564740861755605E-2</v>
      </c>
      <c r="EX66" s="217"/>
      <c r="EZ66" s="217">
        <f t="shared" si="36"/>
        <v>2.3564740861755605E-2</v>
      </c>
      <c r="FA66" s="212">
        <f t="shared" si="16"/>
        <v>1.8206109638600958</v>
      </c>
      <c r="FD66" s="212">
        <f t="shared" si="37"/>
        <v>1.8206109638600958</v>
      </c>
      <c r="FE66" s="184">
        <f t="shared" si="17"/>
        <v>0.86225989588030283</v>
      </c>
      <c r="FG66" s="184">
        <f t="shared" si="38"/>
        <v>0.86225989588030283</v>
      </c>
      <c r="FH66" s="184">
        <f t="shared" si="18"/>
        <v>2.6463119834412567E-2</v>
      </c>
      <c r="FJ66" s="184">
        <f t="shared" si="39"/>
        <v>2.6463119834412567E-2</v>
      </c>
      <c r="FK66" s="184">
        <f t="shared" si="19"/>
        <v>4.5930215570415586E-2</v>
      </c>
      <c r="FM66" s="184">
        <f t="shared" si="40"/>
        <v>4.5930215570415586E-2</v>
      </c>
      <c r="FN66" s="218"/>
      <c r="FO66" s="218">
        <f t="shared" si="81"/>
        <v>1218467665823370</v>
      </c>
      <c r="FP66" s="218">
        <f t="shared" si="21"/>
        <v>1413109517959670</v>
      </c>
      <c r="FQ66" s="218">
        <f t="shared" si="22"/>
        <v>33299559600000</v>
      </c>
      <c r="FR66" s="218">
        <f t="shared" si="23"/>
        <v>2572722681532430</v>
      </c>
      <c r="FS66" s="218">
        <f t="shared" si="24"/>
        <v>3593340846360.2539</v>
      </c>
      <c r="FT66" s="218">
        <f>intermediates!$B$69*data!EU66/intermediates!$B$71</f>
        <v>1.8223815227126743</v>
      </c>
      <c r="FU66" s="218">
        <f>(Y66+W66)*conversions!$C$1*1000000</f>
        <v>1736892641229.8447</v>
      </c>
      <c r="FV66" s="218">
        <f t="shared" si="41"/>
        <v>953089470883.36548</v>
      </c>
      <c r="FW66" s="221">
        <f t="shared" si="25"/>
        <v>2175479540543.0017</v>
      </c>
      <c r="FX66" s="221">
        <f t="shared" si="26"/>
        <v>1222390069659.6362</v>
      </c>
      <c r="FY66" s="221">
        <f>FX66*intermediates!$B$72*1000*ER66/(intermediates!$B$71*10000*1000000000)</f>
        <v>178.21288611961441</v>
      </c>
      <c r="FZ66" s="221">
        <f t="shared" si="82"/>
        <v>25.616990838608917</v>
      </c>
      <c r="GA66" s="218"/>
      <c r="GB66" s="218"/>
      <c r="GC66" s="218">
        <f t="shared" si="83"/>
        <v>8087544100733.9824</v>
      </c>
      <c r="GD66" s="218">
        <f>FV66+FX66+GC66+FS66</f>
        <v>13856364487637.238</v>
      </c>
      <c r="GE66" s="218">
        <f t="shared" si="30"/>
        <v>14937758660546.563</v>
      </c>
      <c r="GF66" s="218">
        <f t="shared" si="31"/>
        <v>395299697491.57782</v>
      </c>
      <c r="GG66" s="218">
        <f t="shared" si="32"/>
        <v>686094475417.74597</v>
      </c>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188">
        <f t="shared" si="64"/>
        <v>2010</v>
      </c>
      <c r="HN66" s="185">
        <f t="shared" si="68"/>
        <v>2164.6949228346598</v>
      </c>
      <c r="HO66" s="185">
        <f t="shared" si="69"/>
        <v>4786.6039980429068</v>
      </c>
      <c r="HP66" s="185">
        <f t="shared" si="70"/>
        <v>5772.2794206349217</v>
      </c>
      <c r="IC66" s="185">
        <f t="shared" si="71"/>
        <v>6951.2989208775662</v>
      </c>
    </row>
    <row r="67" spans="1:240" x14ac:dyDescent="0.3">
      <c r="A67" s="184">
        <v>2011</v>
      </c>
      <c r="B67" s="207">
        <v>7041194.1679999903</v>
      </c>
      <c r="C67" s="207">
        <v>1294707.1419999998</v>
      </c>
      <c r="D67" s="207">
        <f t="shared" si="1"/>
        <v>5746487.0259999903</v>
      </c>
      <c r="H67" s="207">
        <f t="shared" si="5"/>
        <v>7041194167.9999905</v>
      </c>
      <c r="L67" s="187">
        <f t="shared" si="6"/>
        <v>7041194167.9999905</v>
      </c>
      <c r="M67" s="184">
        <v>12403.705151318894</v>
      </c>
      <c r="N67" s="184">
        <v>5517.4772774670519</v>
      </c>
      <c r="O67" s="184">
        <v>6886.2278738518417</v>
      </c>
      <c r="P67" s="184">
        <v>4245.6559159773142</v>
      </c>
      <c r="Q67" s="184">
        <v>2780.1392190363808</v>
      </c>
      <c r="R67" s="184">
        <v>3782.5120162115604</v>
      </c>
      <c r="S67" s="184">
        <v>600.02978147786212</v>
      </c>
      <c r="T67" s="184">
        <v>791.78159821358292</v>
      </c>
      <c r="U67" s="184">
        <v>14.715993611847908</v>
      </c>
      <c r="V67" s="184">
        <v>98.833870841392425</v>
      </c>
      <c r="W67" s="184">
        <v>90.036755948950301</v>
      </c>
      <c r="X67" s="184">
        <v>66382.678429226507</v>
      </c>
      <c r="Y67" s="184">
        <f t="shared" si="66"/>
        <v>66.382678429226502</v>
      </c>
      <c r="Z67" s="184">
        <v>9.3535861492142534</v>
      </c>
      <c r="AA67" s="184">
        <v>1.3420547092073853</v>
      </c>
      <c r="AB67" s="184">
        <f>Z67*conversions!$C$6/conversions!$C$8</f>
        <v>34.273716471722658</v>
      </c>
      <c r="AC67" s="184">
        <f>AA67*conversions!$C$6/conversions!$C$8</f>
        <v>4.9176007853178438</v>
      </c>
      <c r="AD67" s="184">
        <f t="shared" si="7"/>
        <v>39.191317257040502</v>
      </c>
      <c r="AE67" s="212">
        <f t="shared" si="43"/>
        <v>11408.336932703118</v>
      </c>
      <c r="AF67" s="212">
        <f t="shared" si="44"/>
        <v>3.4353225617569851</v>
      </c>
      <c r="AG67" s="184">
        <f>M67*conversions!$C$1*1000000/data!L67</f>
        <v>20551.896450990469</v>
      </c>
      <c r="AH67" s="184">
        <f>N67*conversions!$C$1*1000/C67</f>
        <v>49718.246041092447</v>
      </c>
      <c r="AI67" s="184">
        <f>O67*conversions!$C$1*1000/D67</f>
        <v>13980.598029969047</v>
      </c>
      <c r="AK67" s="192">
        <f t="shared" si="84"/>
        <v>20551.896450990469</v>
      </c>
      <c r="AL67" s="192">
        <f t="shared" si="85"/>
        <v>144709893432053.78</v>
      </c>
      <c r="AM67" s="192">
        <f>data!AL67/(1000000*conversions!$C$1)</f>
        <v>12403.705151318896</v>
      </c>
      <c r="AN67" s="192">
        <f t="shared" si="47"/>
        <v>12403.705151318896</v>
      </c>
      <c r="AO67" s="212">
        <f t="shared" si="72"/>
        <v>1.337131448034055</v>
      </c>
      <c r="AP67" s="212">
        <f t="shared" si="76"/>
        <v>1.274963696793959</v>
      </c>
      <c r="AQ67" s="212">
        <f t="shared" si="73"/>
        <v>2.3081304416219528E-3</v>
      </c>
      <c r="AR67" s="212">
        <f t="shared" si="96"/>
        <v>14.99086249224456</v>
      </c>
      <c r="AS67" s="212">
        <f t="shared" si="74"/>
        <v>3.2308074925634571</v>
      </c>
      <c r="AT67" s="212">
        <f t="shared" si="86"/>
        <v>7.2588597399363868E-3</v>
      </c>
      <c r="AU67" s="212">
        <f t="shared" si="67"/>
        <v>5.3518426647031336E-3</v>
      </c>
      <c r="BR67" s="212" t="str">
        <f t="shared" si="87"/>
        <v/>
      </c>
      <c r="CD67" s="173">
        <f t="shared" si="63"/>
        <v>2011</v>
      </c>
      <c r="CE67" s="173">
        <f t="shared" si="88"/>
        <v>4245.6559159773142</v>
      </c>
      <c r="CF67" s="173">
        <f t="shared" si="89"/>
        <v>2780.1392190363808</v>
      </c>
      <c r="CG67" s="173">
        <f t="shared" si="90"/>
        <v>3782.5120162115604</v>
      </c>
      <c r="CH67" s="173">
        <f t="shared" si="91"/>
        <v>600.02978147786212</v>
      </c>
      <c r="CI67" s="173"/>
      <c r="CJ67" s="173">
        <f t="shared" si="92"/>
        <v>791.78159821358292</v>
      </c>
      <c r="CK67" s="173">
        <f t="shared" si="93"/>
        <v>156.41943437817679</v>
      </c>
      <c r="CL67" s="173">
        <v>0</v>
      </c>
      <c r="CM67" s="173">
        <f t="shared" si="65"/>
        <v>14.715993611847908</v>
      </c>
      <c r="CN67" s="173">
        <f t="shared" si="62"/>
        <v>98.833870841392425</v>
      </c>
      <c r="CO67" s="173"/>
      <c r="CP67" s="174"/>
      <c r="CQ67" s="174"/>
      <c r="CR67" s="174"/>
      <c r="CT67" s="190">
        <f t="shared" si="94"/>
        <v>5.5660043342012493</v>
      </c>
      <c r="CU67" s="190">
        <f t="shared" si="95"/>
        <v>39.191317257040502</v>
      </c>
      <c r="CV67" s="198">
        <f t="shared" si="59"/>
        <v>1984.2986972471058</v>
      </c>
      <c r="CW67" s="198">
        <f t="shared" si="60"/>
        <v>1984.2986972471058</v>
      </c>
      <c r="CX67" s="198">
        <v>1984.2986972471058</v>
      </c>
      <c r="CY67" s="198">
        <f t="shared" si="61"/>
        <v>0</v>
      </c>
      <c r="CZ67" s="199">
        <f>IF(CX67&lt;intermediates!$B$55,intermediates!$B$56+(CX67-intermediates!$B$55)*intermediates!$B$53,intermediates!$B$56+(data!CX67-intermediates!$B$55)*intermediates!$B$58)</f>
        <v>1.0481527878007102</v>
      </c>
      <c r="DA67" s="220">
        <v>1519998.13</v>
      </c>
      <c r="DB67" s="220">
        <v>3298349.71</v>
      </c>
      <c r="DC67" s="220">
        <v>4012365.0948000001</v>
      </c>
      <c r="DD67" s="209">
        <f t="shared" si="33"/>
        <v>9.0038615775797498E-3</v>
      </c>
      <c r="DE67" s="209">
        <f t="shared" si="34"/>
        <v>-9.6761049046836453E-3</v>
      </c>
      <c r="DF67" s="209">
        <f t="shared" si="75"/>
        <v>-8.2714620531874536E-4</v>
      </c>
      <c r="DG67" s="201">
        <f t="shared" si="77"/>
        <v>15199981299999.998</v>
      </c>
      <c r="DH67" s="201">
        <f t="shared" si="77"/>
        <v>32983497100000</v>
      </c>
      <c r="DI67" s="201">
        <f t="shared" si="77"/>
        <v>40123650948000</v>
      </c>
      <c r="DJ67" s="220">
        <v>1.1289619003479E+16</v>
      </c>
      <c r="DK67" s="220">
        <v>1440215418944340</v>
      </c>
      <c r="DL67" s="220">
        <v>1.27298344224234E+16</v>
      </c>
      <c r="DM67" s="220">
        <v>2709425564735080</v>
      </c>
      <c r="DN67" s="220">
        <v>81296694667941.406</v>
      </c>
      <c r="DO67" s="220">
        <v>2790722259403020</v>
      </c>
      <c r="DP67" s="220">
        <v>5896543702907330</v>
      </c>
      <c r="DQ67" s="220">
        <v>1239893857599480</v>
      </c>
      <c r="DR67" s="220">
        <v>7136437560506810</v>
      </c>
      <c r="DS67" s="220">
        <v>1753149868538310</v>
      </c>
      <c r="DT67" s="220">
        <v>96462547723386.094</v>
      </c>
      <c r="DU67" s="220">
        <v>1849612416261700</v>
      </c>
      <c r="DV67" s="220">
        <v>2295761264647020</v>
      </c>
      <c r="DW67" s="220">
        <v>2322448478827.9399</v>
      </c>
      <c r="DX67" s="220">
        <v>2298083713125850</v>
      </c>
      <c r="DY67" s="220">
        <v>286749992696161</v>
      </c>
      <c r="DZ67" s="220">
        <v>7043334181965.2695</v>
      </c>
      <c r="EA67" s="220">
        <v>293793326878126</v>
      </c>
      <c r="EB67" s="220">
        <v>539747820306405</v>
      </c>
      <c r="EC67" s="220">
        <v>17683700839348.301</v>
      </c>
      <c r="ED67" s="220">
        <v>557431521145753</v>
      </c>
      <c r="EE67" s="212">
        <f t="shared" si="78"/>
        <v>2776.7851959363752</v>
      </c>
      <c r="EG67" s="212">
        <f t="shared" si="10"/>
        <v>0.17374128857527987</v>
      </c>
      <c r="EI67" s="212">
        <f t="shared" si="35"/>
        <v>0.17374128857527987</v>
      </c>
      <c r="EJ67" s="212">
        <v>0.30808366308648955</v>
      </c>
      <c r="EK67" s="212">
        <v>0.22395326192794549</v>
      </c>
      <c r="EL67" s="212">
        <v>9.4501018329938902E-2</v>
      </c>
      <c r="EM67" s="212">
        <v>0.26856673061112635</v>
      </c>
      <c r="EN67" s="212">
        <f t="shared" si="79"/>
        <v>2294.3429578976284</v>
      </c>
      <c r="EP67" s="212">
        <f t="shared" si="80"/>
        <v>482.44223803874689</v>
      </c>
      <c r="ER67" s="215">
        <f t="shared" si="13"/>
        <v>742.73900609857992</v>
      </c>
      <c r="ES67" s="209">
        <f t="shared" si="42"/>
        <v>26.769441413844447</v>
      </c>
      <c r="EU67" s="215">
        <f t="shared" si="14"/>
        <v>742.73900609857992</v>
      </c>
      <c r="EV67" s="216">
        <f>data!EU67*conversions!$C$13</f>
        <v>0.86380546409264847</v>
      </c>
      <c r="EW67" s="217">
        <f t="shared" si="15"/>
        <v>2.2901780293517821E-2</v>
      </c>
      <c r="EX67" s="217"/>
      <c r="EZ67" s="217">
        <f t="shared" si="36"/>
        <v>2.2901780293517821E-2</v>
      </c>
      <c r="FA67" s="212">
        <f t="shared" si="16"/>
        <v>1.881264100561467</v>
      </c>
      <c r="FD67" s="212">
        <f t="shared" si="37"/>
        <v>1.881264100561467</v>
      </c>
      <c r="FE67" s="184">
        <f t="shared" si="17"/>
        <v>0.86090861220490666</v>
      </c>
      <c r="FG67" s="184">
        <f t="shared" si="38"/>
        <v>0.86090861220490666</v>
      </c>
      <c r="FH67" s="184">
        <f t="shared" si="18"/>
        <v>2.539943930860699E-2</v>
      </c>
      <c r="FJ67" s="184">
        <f t="shared" si="39"/>
        <v>2.539943930860699E-2</v>
      </c>
      <c r="FK67" s="184">
        <f t="shared" si="19"/>
        <v>4.7809214831791645E-2</v>
      </c>
      <c r="FM67" s="184">
        <f t="shared" si="40"/>
        <v>4.7809214831791645E-2</v>
      </c>
      <c r="FN67" s="218"/>
      <c r="FO67" s="218">
        <f t="shared" si="81"/>
        <v>1239893857599480</v>
      </c>
      <c r="FP67" s="218">
        <f t="shared" si="21"/>
        <v>1440215418944340</v>
      </c>
      <c r="FQ67" s="218">
        <f t="shared" si="22"/>
        <v>32983497100000</v>
      </c>
      <c r="FR67" s="218">
        <f t="shared" si="23"/>
        <v>2709425564735080</v>
      </c>
      <c r="FS67" s="218">
        <f t="shared" si="24"/>
        <v>3647883768710.3672</v>
      </c>
      <c r="FT67" s="218">
        <f>intermediates!$B$69*data!EU67/intermediates!$B$71</f>
        <v>1.890518686374667</v>
      </c>
      <c r="FU67" s="218">
        <f>(Y67+W67)*conversions!$C$1*1000000</f>
        <v>1824893401078.7292</v>
      </c>
      <c r="FV67" s="218">
        <f t="shared" si="41"/>
        <v>965287153325.21606</v>
      </c>
      <c r="FW67" s="221">
        <f t="shared" si="25"/>
        <v>2231175796122.8359</v>
      </c>
      <c r="FX67" s="221">
        <f t="shared" si="26"/>
        <v>1265888642797.6199</v>
      </c>
      <c r="FY67" s="221">
        <f>FX67*intermediates!$B$72*1000*ER67/(intermediates!$B$71*10000*1000000000)</f>
        <v>191.45489072626933</v>
      </c>
      <c r="FZ67" s="221">
        <f t="shared" si="82"/>
        <v>27.190684727367906</v>
      </c>
      <c r="GA67" s="218"/>
      <c r="GB67" s="218"/>
      <c r="GC67" s="218">
        <f t="shared" si="83"/>
        <v>7938917512734.9004</v>
      </c>
      <c r="GD67" s="218">
        <f t="shared" si="29"/>
        <v>13817977077568.104</v>
      </c>
      <c r="GE67" s="218">
        <f t="shared" si="30"/>
        <v>14909480045642.738</v>
      </c>
      <c r="GF67" s="218">
        <f t="shared" si="31"/>
        <v>378692433542.1897</v>
      </c>
      <c r="GG67" s="218">
        <f t="shared" si="32"/>
        <v>712810534532.44434</v>
      </c>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t="s">
        <v>1217</v>
      </c>
      <c r="HL67" s="218"/>
      <c r="HM67" s="188">
        <f t="shared" si="64"/>
        <v>2011</v>
      </c>
      <c r="HN67" s="185">
        <f t="shared" si="68"/>
        <v>2158.7220771554807</v>
      </c>
      <c r="HO67" s="185">
        <f t="shared" si="69"/>
        <v>4684.3612479683634</v>
      </c>
      <c r="HP67" s="185">
        <f t="shared" si="70"/>
        <v>5698.4156367039777</v>
      </c>
      <c r="IC67" s="185">
        <f t="shared" si="71"/>
        <v>6843.0833251238446</v>
      </c>
    </row>
    <row r="68" spans="1:240" x14ac:dyDescent="0.3">
      <c r="A68" s="211">
        <v>2012</v>
      </c>
      <c r="B68" s="207">
        <v>7125827.9570000004</v>
      </c>
      <c r="C68" s="207">
        <v>1303168.3830000004</v>
      </c>
      <c r="D68" s="207">
        <f t="shared" si="1"/>
        <v>5822659.574</v>
      </c>
      <c r="H68" s="207">
        <f t="shared" si="5"/>
        <v>7125827957</v>
      </c>
      <c r="L68" s="187">
        <f t="shared" si="6"/>
        <v>7125827957</v>
      </c>
      <c r="M68" s="184">
        <v>12575.492926362323</v>
      </c>
      <c r="N68" s="184">
        <v>5463.8415003556029</v>
      </c>
      <c r="O68" s="184">
        <v>7111.6514260067233</v>
      </c>
      <c r="P68" s="184">
        <v>4297.7803150033433</v>
      </c>
      <c r="Q68" s="184">
        <v>2852.5583897390084</v>
      </c>
      <c r="R68" s="184">
        <v>3797.1854676935454</v>
      </c>
      <c r="S68" s="184">
        <v>559.4534643358985</v>
      </c>
      <c r="T68" s="184">
        <v>829.69927666190858</v>
      </c>
      <c r="U68" s="184">
        <v>22.800477865479738</v>
      </c>
      <c r="V68" s="184">
        <v>118.52500300472055</v>
      </c>
      <c r="W68" s="184">
        <v>97.490532058418296</v>
      </c>
      <c r="X68" s="184">
        <v>67655.523814423461</v>
      </c>
      <c r="Y68" s="184">
        <f t="shared" si="66"/>
        <v>67.655523814423461</v>
      </c>
      <c r="Z68" s="184">
        <v>9.4959305891408725</v>
      </c>
      <c r="AA68" s="184">
        <v>1.4680351014342956</v>
      </c>
      <c r="AB68" s="184">
        <f>Z68*conversions!$C$6/conversions!$C$8</f>
        <v>34.795299626840219</v>
      </c>
      <c r="AC68" s="184">
        <f>AA68*conversions!$C$6/conversions!$C$8</f>
        <v>5.3792222613272624</v>
      </c>
      <c r="AD68" s="184">
        <f t="shared" si="7"/>
        <v>40.174521888167483</v>
      </c>
      <c r="AE68" s="212">
        <f t="shared" si="43"/>
        <v>11506.977636771795</v>
      </c>
      <c r="AF68" s="212">
        <f t="shared" si="44"/>
        <v>3.4913183249601043</v>
      </c>
      <c r="AG68" s="184">
        <f>M68*conversions!$C$1*1000000/data!L68</f>
        <v>20589.057864745435</v>
      </c>
      <c r="AH68" s="184">
        <f>N68*conversions!$C$1*1000/C68</f>
        <v>48915.257871283604</v>
      </c>
      <c r="AI68" s="184">
        <f>O68*conversions!$C$1*1000/D68</f>
        <v>14249.3761797837</v>
      </c>
      <c r="AK68" s="192">
        <f t="shared" si="84"/>
        <v>20589.057864745435</v>
      </c>
      <c r="AL68" s="192">
        <f t="shared" si="85"/>
        <v>146714084140893.75</v>
      </c>
      <c r="AM68" s="192">
        <f>data!AL68/(1000000*conversions!$C$1)</f>
        <v>12575.492926362322</v>
      </c>
      <c r="AN68" s="192">
        <f t="shared" si="47"/>
        <v>12575.492926362322</v>
      </c>
      <c r="AO68" s="212">
        <f t="shared" si="72"/>
        <v>1.244611621076817</v>
      </c>
      <c r="AP68" s="212">
        <f t="shared" si="76"/>
        <v>1.2523352807606012</v>
      </c>
      <c r="AQ68" s="212">
        <f t="shared" si="73"/>
        <v>2.2087099551170069E-3</v>
      </c>
      <c r="AR68" s="212">
        <f t="shared" si="96"/>
        <v>37.91767844832566</v>
      </c>
      <c r="AS68" s="212">
        <f t="shared" si="74"/>
        <v>1.272845385196959</v>
      </c>
      <c r="AT68" s="212">
        <f t="shared" si="86"/>
        <v>7.75242232088147E-3</v>
      </c>
      <c r="AU68" s="212">
        <f t="shared" si="67"/>
        <v>5.3799500513093592E-3</v>
      </c>
      <c r="BR68" s="212" t="str">
        <f t="shared" si="87"/>
        <v/>
      </c>
      <c r="CD68" s="173">
        <f t="shared" si="63"/>
        <v>2012</v>
      </c>
      <c r="CE68" s="173">
        <f t="shared" si="88"/>
        <v>4297.7803150033433</v>
      </c>
      <c r="CF68" s="173">
        <f t="shared" si="89"/>
        <v>2852.5583897390084</v>
      </c>
      <c r="CG68" s="173">
        <f t="shared" si="90"/>
        <v>3797.1854676935454</v>
      </c>
      <c r="CH68" s="173">
        <f t="shared" si="91"/>
        <v>559.4534643358985</v>
      </c>
      <c r="CI68" s="173"/>
      <c r="CJ68" s="173">
        <f t="shared" si="92"/>
        <v>829.69927666190858</v>
      </c>
      <c r="CK68" s="173">
        <f t="shared" si="93"/>
        <v>165.14605587284177</v>
      </c>
      <c r="CL68" s="173">
        <v>0</v>
      </c>
      <c r="CM68" s="173">
        <f t="shared" si="65"/>
        <v>22.800477865479738</v>
      </c>
      <c r="CN68" s="173">
        <f t="shared" si="62"/>
        <v>118.52500300472055</v>
      </c>
      <c r="CO68" s="173"/>
      <c r="CP68" s="174"/>
      <c r="CQ68" s="174"/>
      <c r="CR68" s="174"/>
      <c r="CS68" s="214"/>
      <c r="CT68" s="190">
        <f t="shared" si="94"/>
        <v>5.6378742415051377</v>
      </c>
      <c r="CU68" s="190">
        <f t="shared" si="95"/>
        <v>40.174521888167483</v>
      </c>
      <c r="CV68" s="198">
        <f t="shared" si="59"/>
        <v>2024.4732191352737</v>
      </c>
      <c r="CW68" s="198">
        <f t="shared" si="60"/>
        <v>2024.4732191352737</v>
      </c>
      <c r="CX68" s="198">
        <v>2024.4732191352737</v>
      </c>
      <c r="CY68" s="198">
        <f t="shared" si="61"/>
        <v>0</v>
      </c>
      <c r="CZ68" s="199">
        <f>IF(CX68&lt;intermediates!$B$55,intermediates!$B$56+(CX68-intermediates!$B$55)*intermediates!$B$53,intermediates!$B$56+(data!CX68-intermediates!$B$55)*intermediates!$B$58)</f>
        <v>1.0699996806589995</v>
      </c>
      <c r="DA68" s="220">
        <v>1530032.66</v>
      </c>
      <c r="DB68" s="220">
        <v>3289102.81</v>
      </c>
      <c r="DC68" s="220">
        <v>4009057.2266000002</v>
      </c>
      <c r="DD68" s="209">
        <f t="shared" si="33"/>
        <v>6.4268838741670404E-3</v>
      </c>
      <c r="DE68" s="209">
        <f t="shared" si="34"/>
        <v>-2.8308949794144606E-3</v>
      </c>
      <c r="DF68" s="209">
        <f t="shared" si="75"/>
        <v>-8.2714620531874536E-4</v>
      </c>
      <c r="DG68" s="201">
        <f t="shared" si="77"/>
        <v>15300326600000</v>
      </c>
      <c r="DH68" s="201">
        <f t="shared" si="77"/>
        <v>32891028100000</v>
      </c>
      <c r="DI68" s="201">
        <f t="shared" si="77"/>
        <v>40090572266000</v>
      </c>
      <c r="DJ68" s="220">
        <v>1.11699141190563E+16</v>
      </c>
      <c r="DK68" s="220">
        <v>1470161032502410</v>
      </c>
      <c r="DL68" s="220">
        <v>1.26400751515587E+16</v>
      </c>
      <c r="DM68" s="220">
        <v>2687122010835770</v>
      </c>
      <c r="DN68" s="220">
        <v>82548874357741.094</v>
      </c>
      <c r="DO68" s="220">
        <v>2769670885193510</v>
      </c>
      <c r="DP68" s="220">
        <v>5965392924440420</v>
      </c>
      <c r="DQ68" s="220">
        <v>1266970304659850</v>
      </c>
      <c r="DR68" s="220">
        <v>7232363229100280</v>
      </c>
      <c r="DS68" s="220">
        <v>1836422854940870</v>
      </c>
      <c r="DT68" s="220">
        <v>101443001929289</v>
      </c>
      <c r="DU68" s="220">
        <v>1937865856870160</v>
      </c>
      <c r="DV68" s="220">
        <v>2350653052700610</v>
      </c>
      <c r="DW68" s="220">
        <v>2534605859021.5601</v>
      </c>
      <c r="DX68" s="220">
        <v>2353187658559630</v>
      </c>
      <c r="DY68" s="220">
        <v>291682226144200</v>
      </c>
      <c r="DZ68" s="220">
        <v>7309213243778.4404</v>
      </c>
      <c r="EA68" s="220">
        <v>298991439387978</v>
      </c>
      <c r="EB68" s="220">
        <v>515636975671811</v>
      </c>
      <c r="EC68" s="220">
        <v>18318761247710.199</v>
      </c>
      <c r="ED68" s="220">
        <v>533955736919521</v>
      </c>
      <c r="EE68" s="212">
        <f t="shared" si="78"/>
        <v>2780.6865248398435</v>
      </c>
      <c r="EG68" s="212">
        <f t="shared" si="10"/>
        <v>0.17518067947168958</v>
      </c>
      <c r="EI68" s="212">
        <f t="shared" si="35"/>
        <v>0.17518067947168958</v>
      </c>
      <c r="EJ68" s="212">
        <v>0.30305626963724652</v>
      </c>
      <c r="EK68" s="212">
        <v>0.23064516129032259</v>
      </c>
      <c r="EL68" s="212">
        <v>9.6919917864476388E-2</v>
      </c>
      <c r="EM68" s="212">
        <v>0.26742609167344727</v>
      </c>
      <c r="EN68" s="212">
        <f t="shared" si="79"/>
        <v>2293.5639700206248</v>
      </c>
      <c r="EP68" s="212">
        <f t="shared" si="80"/>
        <v>487.122554819215</v>
      </c>
      <c r="ER68" s="215">
        <f t="shared" si="13"/>
        <v>730.04416252502085</v>
      </c>
      <c r="ES68" s="209">
        <f t="shared" si="42"/>
        <v>-12.694843573559069</v>
      </c>
      <c r="ET68" s="214"/>
      <c r="EU68" s="215">
        <f t="shared" si="14"/>
        <v>730.04416252502085</v>
      </c>
      <c r="EV68" s="216">
        <f>data!EU68*conversions!$C$13</f>
        <v>0.84904136101659922</v>
      </c>
      <c r="EW68" s="217">
        <f t="shared" si="15"/>
        <v>2.2372398242670795E-2</v>
      </c>
      <c r="EX68" s="217"/>
      <c r="EZ68" s="217">
        <f t="shared" si="36"/>
        <v>2.2372398242670795E-2</v>
      </c>
      <c r="FA68" s="212">
        <f t="shared" si="16"/>
        <v>1.8277739318542066</v>
      </c>
      <c r="FD68" s="212">
        <f t="shared" si="37"/>
        <v>1.8277739318542066</v>
      </c>
      <c r="FE68" s="184">
        <f t="shared" si="17"/>
        <v>0.86179015539766934</v>
      </c>
      <c r="FG68" s="184">
        <f t="shared" si="38"/>
        <v>0.86179015539766934</v>
      </c>
      <c r="FH68" s="184">
        <f t="shared" si="18"/>
        <v>2.6113202217605144E-2</v>
      </c>
      <c r="FJ68" s="184">
        <f t="shared" si="39"/>
        <v>2.6113202217605144E-2</v>
      </c>
      <c r="FK68" s="184">
        <f t="shared" si="19"/>
        <v>4.6163020608378236E-2</v>
      </c>
      <c r="FM68" s="184">
        <f t="shared" si="40"/>
        <v>4.6163020608378236E-2</v>
      </c>
      <c r="FN68" s="218"/>
      <c r="FO68" s="218">
        <f t="shared" si="81"/>
        <v>1266970304659850</v>
      </c>
      <c r="FP68" s="218">
        <f t="shared" si="21"/>
        <v>1470161032502410</v>
      </c>
      <c r="FQ68" s="218">
        <f t="shared" si="22"/>
        <v>32891028100000</v>
      </c>
      <c r="FR68" s="218">
        <f t="shared" si="23"/>
        <v>2687122010835770</v>
      </c>
      <c r="FS68" s="218">
        <f t="shared" si="24"/>
        <v>3680766382052.5024</v>
      </c>
      <c r="FT68" s="218">
        <f>intermediates!$B$69*data!EU68/intermediates!$B$71</f>
        <v>1.8582060721193827</v>
      </c>
      <c r="FU68" s="218">
        <f>(Y68+W68)*conversions!$C$1*1000000</f>
        <v>1926703985183.1541</v>
      </c>
      <c r="FV68" s="218">
        <f t="shared" si="41"/>
        <v>1036862387918.9275</v>
      </c>
      <c r="FW68" s="221">
        <f t="shared" si="25"/>
        <v>2337154568997.0376</v>
      </c>
      <c r="FX68" s="221">
        <f t="shared" si="26"/>
        <v>1300292181078.1101</v>
      </c>
      <c r="FY68" s="221">
        <f>FX68*intermediates!$B$72*1000*ER68/(intermediates!$B$71*10000*1000000000)</f>
        <v>193.29686611269602</v>
      </c>
      <c r="FZ68" s="221">
        <f t="shared" si="82"/>
        <v>27.126232527521577</v>
      </c>
      <c r="GA68" s="218"/>
      <c r="GB68" s="218"/>
      <c r="GC68" s="218">
        <f t="shared" si="83"/>
        <v>8171276794828.1045</v>
      </c>
      <c r="GD68" s="218">
        <f t="shared" si="29"/>
        <v>14189197745877.645</v>
      </c>
      <c r="GE68" s="218">
        <f t="shared" si="30"/>
        <v>15294636286136.842</v>
      </c>
      <c r="GF68" s="218">
        <f t="shared" si="31"/>
        <v>399391930184.61267</v>
      </c>
      <c r="GG68" s="218">
        <f t="shared" si="32"/>
        <v>706046610074.58459</v>
      </c>
      <c r="GH68" s="218"/>
      <c r="GI68" s="218"/>
      <c r="GJ68" s="218"/>
      <c r="GK68" s="218"/>
      <c r="GL68" s="218"/>
      <c r="GM68" s="218"/>
      <c r="GN68" s="218"/>
      <c r="GO68" s="218"/>
      <c r="GP68" s="218"/>
      <c r="GQ68" s="218"/>
      <c r="GR68" s="218"/>
      <c r="GS68" s="218"/>
      <c r="GT68" s="218"/>
      <c r="GU68" s="218"/>
      <c r="GV68" s="218"/>
      <c r="GW68" s="218"/>
      <c r="GX68" s="218"/>
      <c r="GY68" s="218"/>
      <c r="GZ68" s="218"/>
      <c r="HA68" s="218"/>
      <c r="HB68" s="218"/>
      <c r="HC68" s="218"/>
      <c r="HD68" s="218"/>
      <c r="HE68" s="218"/>
      <c r="HF68" s="218"/>
      <c r="HG68" s="218"/>
      <c r="HH68" s="218"/>
      <c r="HI68" s="218"/>
      <c r="HJ68" s="218"/>
      <c r="HK68" s="218" t="s">
        <v>1218</v>
      </c>
      <c r="HL68" s="218"/>
      <c r="HM68" s="188">
        <f t="shared" si="64"/>
        <v>2012</v>
      </c>
      <c r="HN68" s="185">
        <f t="shared" si="68"/>
        <v>2147.1647494618287</v>
      </c>
      <c r="HO68" s="185">
        <f t="shared" si="69"/>
        <v>4615.7482749341098</v>
      </c>
      <c r="HP68" s="185">
        <f t="shared" si="70"/>
        <v>5626.0932074029861</v>
      </c>
      <c r="IC68" s="185">
        <f t="shared" si="71"/>
        <v>6762.913024395938</v>
      </c>
    </row>
    <row r="69" spans="1:240" x14ac:dyDescent="0.3">
      <c r="A69" s="184">
        <v>2013</v>
      </c>
      <c r="B69" s="207">
        <v>7210582.0410000002</v>
      </c>
      <c r="C69" s="207">
        <v>1311406.3449999997</v>
      </c>
      <c r="D69" s="207">
        <f t="shared" si="1"/>
        <v>5899175.6960000005</v>
      </c>
      <c r="H69" s="207">
        <f t="shared" si="5"/>
        <v>7210582041</v>
      </c>
      <c r="L69" s="187">
        <f t="shared" si="6"/>
        <v>7210582041</v>
      </c>
      <c r="M69" s="184">
        <v>12819.426466265242</v>
      </c>
      <c r="N69" s="184">
        <v>5522.6630068766053</v>
      </c>
      <c r="O69" s="184">
        <v>7296.7634593886369</v>
      </c>
      <c r="P69" s="184">
        <v>4350.3370787178119</v>
      </c>
      <c r="Q69" s="184">
        <v>2897.4677970227722</v>
      </c>
      <c r="R69" s="184">
        <v>3867.0183386436929</v>
      </c>
      <c r="S69" s="184">
        <v>563.80359344275246</v>
      </c>
      <c r="T69" s="184">
        <v>858.31312954409566</v>
      </c>
      <c r="U69" s="184">
        <v>31.465486539926747</v>
      </c>
      <c r="V69" s="184">
        <v>146.01579067519384</v>
      </c>
      <c r="W69" s="184">
        <v>105.00525167899279</v>
      </c>
      <c r="X69" s="184">
        <v>73569.591391592927</v>
      </c>
      <c r="Y69" s="184">
        <f t="shared" si="66"/>
        <v>73.569591391592922</v>
      </c>
      <c r="Z69" s="184">
        <v>9.5413283960298703</v>
      </c>
      <c r="AA69" s="184">
        <v>1.5186219468021425</v>
      </c>
      <c r="AB69" s="184">
        <f>Z69*conversions!$C$6/conversions!$C$8</f>
        <v>34.961647756523313</v>
      </c>
      <c r="AC69" s="184">
        <f>AA69*conversions!$C$6/conversions!$C$8</f>
        <v>5.5645842356200959</v>
      </c>
      <c r="AD69" s="184">
        <f t="shared" si="7"/>
        <v>40.526231992143408</v>
      </c>
      <c r="AE69" s="212">
        <f t="shared" si="43"/>
        <v>11678.626807827028</v>
      </c>
      <c r="AF69" s="212">
        <f t="shared" si="44"/>
        <v>3.4701196175720495</v>
      </c>
      <c r="AG69" s="184">
        <f>M69*conversions!$C$1*1000000/data!L69</f>
        <v>20741.734105423122</v>
      </c>
      <c r="AH69" s="184">
        <f>N69*conversions!$C$1*1000/C69</f>
        <v>49131.277013579194</v>
      </c>
      <c r="AI69" s="184">
        <f>O69*conversions!$C$1*1000/D69</f>
        <v>14430.644451549957</v>
      </c>
      <c r="AK69" s="192">
        <f t="shared" si="84"/>
        <v>20741.734105423122</v>
      </c>
      <c r="AL69" s="192">
        <f t="shared" si="85"/>
        <v>149559975439761.16</v>
      </c>
      <c r="AM69" s="192">
        <f>data!AL69/(1000000*conversions!$C$1)</f>
        <v>12819.426466265242</v>
      </c>
      <c r="AN69" s="192">
        <f t="shared" si="47"/>
        <v>12819.426466265242</v>
      </c>
      <c r="AO69" s="212">
        <f t="shared" si="72"/>
        <v>1.2558335278415038</v>
      </c>
      <c r="AP69" s="212">
        <f t="shared" si="76"/>
        <v>1.2395791064466863</v>
      </c>
      <c r="AQ69" s="212">
        <f t="shared" si="73"/>
        <v>2.8203911025244002E-3</v>
      </c>
      <c r="AR69" s="212">
        <f t="shared" si="96"/>
        <v>28.613852882187075</v>
      </c>
      <c r="AS69" s="212">
        <f t="shared" si="74"/>
        <v>5.9140675771694617</v>
      </c>
      <c r="AT69" s="212">
        <f t="shared" si="86"/>
        <v>8.19110370930538E-3</v>
      </c>
      <c r="AU69" s="212">
        <f t="shared" si="67"/>
        <v>5.7389144190805891E-3</v>
      </c>
      <c r="BE69" s="223">
        <f>FY69</f>
        <v>222.09891098992358</v>
      </c>
      <c r="BF69" s="214">
        <f>BE69-BG69</f>
        <v>222.09891098992358</v>
      </c>
      <c r="BR69" s="212" t="str">
        <f t="shared" si="87"/>
        <v/>
      </c>
      <c r="CD69" s="173">
        <f t="shared" si="63"/>
        <v>2013</v>
      </c>
      <c r="CE69" s="173">
        <f t="shared" si="88"/>
        <v>4350.3370787178119</v>
      </c>
      <c r="CF69" s="173">
        <f t="shared" si="89"/>
        <v>2897.4677970227722</v>
      </c>
      <c r="CG69" s="173">
        <f t="shared" si="90"/>
        <v>3867.0183386436929</v>
      </c>
      <c r="CH69" s="173">
        <f t="shared" si="91"/>
        <v>563.80359344275246</v>
      </c>
      <c r="CI69" s="173"/>
      <c r="CJ69" s="173">
        <f t="shared" si="92"/>
        <v>858.31312954409566</v>
      </c>
      <c r="CK69" s="173">
        <f t="shared" si="93"/>
        <v>178.5748430705857</v>
      </c>
      <c r="CL69" s="173">
        <v>0</v>
      </c>
      <c r="CM69" s="173">
        <f t="shared" si="65"/>
        <v>31.465486539926747</v>
      </c>
      <c r="CN69" s="173">
        <f t="shared" si="62"/>
        <v>146.01579067519384</v>
      </c>
      <c r="CO69" s="173"/>
      <c r="CP69" s="174"/>
      <c r="CQ69" s="174"/>
      <c r="CR69" s="174"/>
      <c r="CS69" s="214"/>
      <c r="CT69" s="190">
        <f t="shared" si="94"/>
        <v>5.6203828985937214</v>
      </c>
      <c r="CU69" s="190">
        <f t="shared" si="95"/>
        <v>40.526231992143408</v>
      </c>
      <c r="CV69" s="198">
        <f t="shared" si="59"/>
        <v>2064.9994511274172</v>
      </c>
      <c r="CW69" s="198">
        <f t="shared" si="60"/>
        <v>2064.9994511274172</v>
      </c>
      <c r="CX69" s="198">
        <v>2064.9994511274172</v>
      </c>
      <c r="CY69" s="198">
        <f t="shared" si="61"/>
        <v>0</v>
      </c>
      <c r="CZ69" s="199">
        <f>IF(CX69&lt;intermediates!$B$55,intermediates!$B$56+(CX69-intermediates!$B$55)*intermediates!$B$53,intermediates!$B$56+(data!CX69-intermediates!$B$55)*intermediates!$B$58)</f>
        <v>1.0920378333655112</v>
      </c>
      <c r="DA69" s="220">
        <v>1532703.5767000001</v>
      </c>
      <c r="DB69" s="220">
        <v>3274931.4904999998</v>
      </c>
      <c r="DC69" s="220">
        <v>4005749.3583999998</v>
      </c>
      <c r="DD69" s="209">
        <f t="shared" si="33"/>
        <v>1.7106602370489234E-3</v>
      </c>
      <c r="DE69" s="209">
        <f t="shared" si="34"/>
        <v>-4.3384828671478286E-3</v>
      </c>
      <c r="DF69" s="209">
        <f t="shared" si="75"/>
        <v>-8.271462053188618E-4</v>
      </c>
      <c r="DG69" s="201">
        <f t="shared" si="77"/>
        <v>15327035767000</v>
      </c>
      <c r="DH69" s="201">
        <f t="shared" si="77"/>
        <v>32749314905000</v>
      </c>
      <c r="DI69" s="201">
        <f t="shared" si="77"/>
        <v>40057493584000</v>
      </c>
      <c r="DJ69" s="220">
        <v>1.20432423060037E+16</v>
      </c>
      <c r="DK69" s="220">
        <v>1490973215662330</v>
      </c>
      <c r="DL69" s="220">
        <v>1.3534215521666E+16</v>
      </c>
      <c r="DM69" s="220">
        <v>2941021643486220</v>
      </c>
      <c r="DN69" s="220">
        <v>82452213528070.906</v>
      </c>
      <c r="DO69" s="220">
        <v>3023473857014290</v>
      </c>
      <c r="DP69" s="220">
        <v>6056085186458740</v>
      </c>
      <c r="DQ69" s="220">
        <v>1283639873796780</v>
      </c>
      <c r="DR69" s="220">
        <v>7339725060255530</v>
      </c>
      <c r="DS69" s="220">
        <v>1909222901661170</v>
      </c>
      <c r="DT69" s="220">
        <v>98819194118792.406</v>
      </c>
      <c r="DU69" s="220">
        <v>2008042095779960</v>
      </c>
      <c r="DV69" s="220">
        <v>2363931368063020</v>
      </c>
      <c r="DW69" s="220">
        <v>2663336521101.5698</v>
      </c>
      <c r="DX69" s="220">
        <v>2366594704584120</v>
      </c>
      <c r="DY69" s="220">
        <v>293325442938741</v>
      </c>
      <c r="DZ69" s="220">
        <v>7541952822762.6602</v>
      </c>
      <c r="EA69" s="220">
        <v>300867395761504</v>
      </c>
      <c r="EB69" s="220">
        <v>539491896676003</v>
      </c>
      <c r="EC69" s="220">
        <v>18725019513083.398</v>
      </c>
      <c r="ED69" s="220">
        <v>558216916189087</v>
      </c>
      <c r="EE69" s="212">
        <f t="shared" si="78"/>
        <v>2788.7950885492187</v>
      </c>
      <c r="EF69" s="222">
        <v>2788.7950885492187</v>
      </c>
      <c r="EG69" s="212">
        <f t="shared" si="10"/>
        <v>0.17488936755242579</v>
      </c>
      <c r="EH69" s="222">
        <v>0.17488936755242579</v>
      </c>
      <c r="EI69" s="212">
        <f t="shared" si="35"/>
        <v>0.17488936755242579</v>
      </c>
      <c r="EJ69" s="212">
        <v>0.29837096313232353</v>
      </c>
      <c r="EK69" s="212">
        <v>0.23294723294723294</v>
      </c>
      <c r="EL69" s="212">
        <v>9.5567303782025215E-2</v>
      </c>
      <c r="EM69" s="212">
        <v>0.26724606192286798</v>
      </c>
      <c r="EN69" s="212">
        <f t="shared" si="79"/>
        <v>2301.0644792795306</v>
      </c>
      <c r="EP69" s="212">
        <f t="shared" si="80"/>
        <v>487.73060926968412</v>
      </c>
      <c r="ER69" s="215">
        <f t="shared" si="13"/>
        <v>785.75156273423079</v>
      </c>
      <c r="ES69" s="209">
        <f t="shared" si="42"/>
        <v>55.707400209209936</v>
      </c>
      <c r="ET69" s="223">
        <f>ER69</f>
        <v>785.75156273423079</v>
      </c>
      <c r="EU69" s="215">
        <f t="shared" si="14"/>
        <v>785.75156273423079</v>
      </c>
      <c r="EV69" s="216">
        <f>data!EU69*conversions!$C$13</f>
        <v>0.91382906745991044</v>
      </c>
      <c r="EW69" s="217">
        <f t="shared" si="15"/>
        <v>2.1965059171402943E-2</v>
      </c>
      <c r="EX69" s="224">
        <v>2.1965059171402943E-2</v>
      </c>
      <c r="EY69" s="224">
        <v>2.1965059171402943E-2</v>
      </c>
      <c r="EZ69" s="217">
        <f t="shared" si="36"/>
        <v>2.1965059171402943E-2</v>
      </c>
      <c r="FA69" s="212">
        <f t="shared" si="16"/>
        <v>1.9725516277498922</v>
      </c>
      <c r="FD69" s="212">
        <f t="shared" si="37"/>
        <v>1.9725516277498922</v>
      </c>
      <c r="FE69" s="184">
        <f t="shared" si="17"/>
        <v>0.86094093462742249</v>
      </c>
      <c r="FG69" s="184">
        <f t="shared" si="38"/>
        <v>0.86094093462742249</v>
      </c>
      <c r="FH69" s="184">
        <f t="shared" si="18"/>
        <v>2.4356019374659161E-2</v>
      </c>
      <c r="FJ69" s="184">
        <f t="shared" si="39"/>
        <v>2.4356019374659161E-2</v>
      </c>
      <c r="FK69" s="184">
        <f t="shared" si="19"/>
        <v>4.4796233685928569E-2</v>
      </c>
      <c r="FM69" s="184">
        <f t="shared" si="40"/>
        <v>4.4796233685928569E-2</v>
      </c>
      <c r="FN69" s="218"/>
      <c r="FO69" s="218">
        <f t="shared" si="81"/>
        <v>1283639873796780</v>
      </c>
      <c r="FP69" s="218">
        <f t="shared" si="21"/>
        <v>1490973215662330</v>
      </c>
      <c r="FQ69" s="218">
        <f t="shared" si="22"/>
        <v>32749314905000</v>
      </c>
      <c r="FR69" s="218">
        <f t="shared" si="23"/>
        <v>2941021643486220</v>
      </c>
      <c r="FS69" s="218">
        <f t="shared" si="24"/>
        <v>3742940877205.7109</v>
      </c>
      <c r="FT69" s="218">
        <f>intermediates!$B$69*data!EU69/intermediates!$B$71</f>
        <v>2</v>
      </c>
      <c r="FU69" s="218">
        <f>(Y69+W69)*conversions!$C$1*1000000</f>
        <v>2083373169156.833</v>
      </c>
      <c r="FV69" s="218">
        <f t="shared" si="41"/>
        <v>1041686584578.4165</v>
      </c>
      <c r="FW69" s="221">
        <f t="shared" si="25"/>
        <v>2429804778265.439</v>
      </c>
      <c r="FX69" s="221">
        <f t="shared" si="26"/>
        <v>1388118193687.0225</v>
      </c>
      <c r="FY69" s="221">
        <f>FX69*intermediates!$B$72*1000*ER69/(intermediates!$B$71*10000*1000000000)</f>
        <v>222.09891098992358</v>
      </c>
      <c r="FZ69" s="221">
        <f t="shared" si="82"/>
        <v>30.801800704443796</v>
      </c>
      <c r="GA69" s="218"/>
      <c r="GB69" s="218"/>
      <c r="GC69" s="218">
        <f t="shared" si="83"/>
        <v>7707379117879.1768</v>
      </c>
      <c r="GD69" s="218">
        <f>FV69+FX69+GC69+FS69</f>
        <v>13880124773350.326</v>
      </c>
      <c r="GE69" s="218">
        <f t="shared" si="30"/>
        <v>14911272889672.436</v>
      </c>
      <c r="GF69" s="218">
        <f t="shared" si="31"/>
        <v>363179251401.69171</v>
      </c>
      <c r="GG69" s="218">
        <f t="shared" si="32"/>
        <v>667968864920.41785</v>
      </c>
      <c r="GH69" s="218"/>
      <c r="GI69" s="218"/>
      <c r="GJ69" s="218"/>
      <c r="GK69" s="218"/>
      <c r="GL69" s="225">
        <v>4.023535335695938E-2</v>
      </c>
      <c r="GM69" s="218"/>
      <c r="GN69" s="218"/>
      <c r="GO69" s="218"/>
      <c r="GP69" s="218"/>
      <c r="GQ69" s="218"/>
      <c r="GR69" s="218"/>
      <c r="GS69" s="225">
        <f>DG69+DH69</f>
        <v>48076350672000</v>
      </c>
      <c r="GT69" s="225">
        <f t="shared" ref="GT69:GT100" si="97">SUM(DG69:DI69)</f>
        <v>88133844256000</v>
      </c>
      <c r="GU69" s="225">
        <f>DI69</f>
        <v>40057493584000</v>
      </c>
      <c r="GV69" s="225">
        <f>DG69</f>
        <v>15327035767000</v>
      </c>
      <c r="GW69" s="218"/>
      <c r="GX69" s="218"/>
      <c r="GY69" s="218"/>
      <c r="GZ69" s="218"/>
      <c r="HA69" s="218"/>
      <c r="HB69" s="218"/>
      <c r="HC69" s="225">
        <f>DH69</f>
        <v>32749314905000</v>
      </c>
      <c r="HD69" s="225">
        <f>DH69*intermediates!$B$79/(10000*1000000000)</f>
        <v>2173.7097224345266</v>
      </c>
      <c r="HE69" s="225">
        <f>(DG69*intermediates!$B$80+DG69*GL69*intermediates!B82)/(10000*1000000000)</f>
        <v>464.98458037180052</v>
      </c>
      <c r="HF69" s="225">
        <f>DI69*intermediates!B78/(10000*1000000000)</f>
        <v>4033.7636638750614</v>
      </c>
      <c r="HG69" s="225">
        <v>0</v>
      </c>
      <c r="HH69" s="225">
        <v>0</v>
      </c>
      <c r="HI69" s="225">
        <v>0</v>
      </c>
      <c r="HJ69" s="225">
        <v>0</v>
      </c>
      <c r="HK69" s="225"/>
      <c r="HL69" s="225">
        <v>0</v>
      </c>
      <c r="HM69" s="188">
        <f t="shared" si="64"/>
        <v>2013</v>
      </c>
      <c r="HN69" s="185">
        <f t="shared" si="68"/>
        <v>2125.6308686107632</v>
      </c>
      <c r="HO69" s="185">
        <f t="shared" si="69"/>
        <v>4541.84068897414</v>
      </c>
      <c r="HP69" s="185">
        <f t="shared" si="70"/>
        <v>5555.3758845304847</v>
      </c>
      <c r="IC69" s="185">
        <f t="shared" si="71"/>
        <v>6667.4715575849032</v>
      </c>
    </row>
    <row r="70" spans="1:240" x14ac:dyDescent="0.3">
      <c r="A70" s="211">
        <v>2014</v>
      </c>
      <c r="B70" s="207">
        <v>7295290.7589999996</v>
      </c>
      <c r="C70" s="207">
        <v>1319515.1210000003</v>
      </c>
      <c r="D70" s="207">
        <f t="shared" ref="D70:D75" si="98">B70-C70</f>
        <v>5975775.6379999993</v>
      </c>
      <c r="H70" s="207">
        <f t="shared" si="5"/>
        <v>7295290759</v>
      </c>
      <c r="L70" s="187">
        <f t="shared" si="6"/>
        <v>7295290759</v>
      </c>
      <c r="M70" s="184">
        <v>12939.768026370384</v>
      </c>
      <c r="N70" s="184">
        <v>5483.4932926627971</v>
      </c>
      <c r="O70" s="184">
        <v>7456.2747337075907</v>
      </c>
      <c r="P70" s="184">
        <v>4385.3418607274525</v>
      </c>
      <c r="Q70" s="184">
        <v>2917.1456792423623</v>
      </c>
      <c r="R70" s="184">
        <v>3864.1897708349611</v>
      </c>
      <c r="S70" s="184">
        <v>574.90893353840227</v>
      </c>
      <c r="T70" s="184">
        <v>878.65851538065942</v>
      </c>
      <c r="U70" s="184">
        <v>44.782212150529546</v>
      </c>
      <c r="V70" s="184">
        <v>161.11501497195493</v>
      </c>
      <c r="W70" s="184">
        <v>113.62603952406189</v>
      </c>
      <c r="X70" s="184">
        <v>80076.890723594901</v>
      </c>
      <c r="Y70" s="184">
        <f t="shared" si="66"/>
        <v>80.0768907235949</v>
      </c>
      <c r="Z70" s="184">
        <v>9.6137657818165536</v>
      </c>
      <c r="AA70" s="184">
        <v>1.6591507671770875</v>
      </c>
      <c r="AB70" s="184">
        <f>Z70*conversions!$C$6/conversions!$C$8</f>
        <v>35.22707519609569</v>
      </c>
      <c r="AC70" s="184">
        <f>AA70*conversions!$C$6/conversions!$C$8</f>
        <v>6.0795145381587776</v>
      </c>
      <c r="AD70" s="184">
        <f t="shared" si="7"/>
        <v>41.306589734254466</v>
      </c>
      <c r="AE70" s="212">
        <f t="shared" si="43"/>
        <v>11741.586244343178</v>
      </c>
      <c r="AF70" s="212">
        <f t="shared" si="44"/>
        <v>3.5179735407688217</v>
      </c>
      <c r="AG70" s="184">
        <f>M70*conversions!$C$1*1000000/data!L70</f>
        <v>20693.343870004683</v>
      </c>
      <c r="AH70" s="184">
        <f>N70*conversions!$C$1*1000/C70</f>
        <v>48483.027891272861</v>
      </c>
      <c r="AI70" s="184">
        <f>O70*conversions!$C$1*1000/D70</f>
        <v>14557.084663635296</v>
      </c>
      <c r="AK70" s="192">
        <f t="shared" si="84"/>
        <v>20693.343870004683</v>
      </c>
      <c r="AL70" s="192">
        <f t="shared" si="85"/>
        <v>150963960307654.47</v>
      </c>
      <c r="AM70" s="192">
        <f>data!AL70/(1000000*conversions!$C$1)</f>
        <v>12939.768026370384</v>
      </c>
      <c r="AN70" s="192">
        <f t="shared" si="47"/>
        <v>12939.768026370384</v>
      </c>
      <c r="AO70" s="212">
        <f t="shared" si="72"/>
        <v>1.1601067467692472</v>
      </c>
      <c r="AP70" s="212">
        <f t="shared" si="76"/>
        <v>1.207520225522162</v>
      </c>
      <c r="AQ70" s="212">
        <f t="shared" si="73"/>
        <v>2.1960169494116178E-3</v>
      </c>
      <c r="AR70" s="212">
        <f t="shared" si="96"/>
        <v>20.345385836563764</v>
      </c>
      <c r="AS70" s="212">
        <f t="shared" si="74"/>
        <v>6.5072993320019776</v>
      </c>
      <c r="AT70" s="212">
        <f t="shared" si="86"/>
        <v>8.7811496537263736E-3</v>
      </c>
      <c r="AU70" s="212">
        <f t="shared" si="67"/>
        <v>6.1884332516938126E-3</v>
      </c>
      <c r="BE70" s="214">
        <f>MAX(0,MIN(1,(data!A70-intermediates!$B$29)/(intermediates!$B$31-intermediates!$B$29)))*((intermediates!$B$38*L70)-$BE$69*1000000000)/1000000000+$BE$69</f>
        <v>222.09891098992358</v>
      </c>
      <c r="BF70" s="214">
        <f t="shared" ref="BF70:BF132" si="99">BE70-BG70</f>
        <v>222.09891098992358</v>
      </c>
      <c r="BR70" s="212" t="str">
        <f t="shared" si="87"/>
        <v/>
      </c>
      <c r="CD70" s="173">
        <f t="shared" ref="CD70:CD101" si="100">A70</f>
        <v>2014</v>
      </c>
      <c r="CE70" s="173">
        <f t="shared" si="88"/>
        <v>4385.3418607274525</v>
      </c>
      <c r="CF70" s="173">
        <f t="shared" si="89"/>
        <v>2917.1456792423623</v>
      </c>
      <c r="CG70" s="173">
        <f t="shared" si="90"/>
        <v>3864.1897708349611</v>
      </c>
      <c r="CH70" s="173">
        <f t="shared" si="91"/>
        <v>574.90893353840227</v>
      </c>
      <c r="CI70" s="173"/>
      <c r="CJ70" s="173">
        <f t="shared" si="92"/>
        <v>878.65851538065942</v>
      </c>
      <c r="CK70" s="173">
        <f t="shared" si="93"/>
        <v>193.70293024765681</v>
      </c>
      <c r="CL70" s="173">
        <v>0</v>
      </c>
      <c r="CM70" s="173">
        <f t="shared" si="65"/>
        <v>44.782212150529546</v>
      </c>
      <c r="CN70" s="173">
        <f t="shared" si="62"/>
        <v>161.11501497195493</v>
      </c>
      <c r="CO70" s="173"/>
      <c r="CP70" s="174"/>
      <c r="CQ70" s="174"/>
      <c r="CR70" s="174"/>
      <c r="CS70" s="214"/>
      <c r="CT70" s="190">
        <f t="shared" si="94"/>
        <v>5.6620895724129507</v>
      </c>
      <c r="CU70" s="190">
        <f t="shared" si="95"/>
        <v>41.306589734254466</v>
      </c>
      <c r="CV70" s="198">
        <f t="shared" si="59"/>
        <v>2106.3060408616711</v>
      </c>
      <c r="CW70" s="198">
        <f t="shared" si="60"/>
        <v>2106.3060408616711</v>
      </c>
      <c r="CX70" s="198">
        <v>2106.3060408616711</v>
      </c>
      <c r="CY70" s="198">
        <f t="shared" si="61"/>
        <v>0</v>
      </c>
      <c r="CZ70" s="199">
        <f>IF(CX70&lt;intermediates!$B$55,intermediates!$B$56+(CX70-intermediates!$B$55)*intermediates!$B$53,intermediates!$B$56+(data!CX70-intermediates!$B$55)*intermediates!$B$58)</f>
        <v>1.1145003443762853</v>
      </c>
      <c r="DA70" s="220">
        <v>1533862.6486</v>
      </c>
      <c r="DB70" s="220">
        <v>3272749.2796</v>
      </c>
      <c r="DC70" s="220">
        <v>4002441.4901999999</v>
      </c>
      <c r="DD70" s="209">
        <f t="shared" si="33"/>
        <v>7.4235868576896585E-4</v>
      </c>
      <c r="DE70" s="209">
        <f t="shared" si="34"/>
        <v>-6.6807361178698754E-4</v>
      </c>
      <c r="DF70" s="209">
        <f t="shared" si="75"/>
        <v>-8.2714620531874536E-4</v>
      </c>
      <c r="DG70" s="201">
        <f t="shared" si="77"/>
        <v>15338626486000</v>
      </c>
      <c r="DH70" s="201">
        <f t="shared" si="77"/>
        <v>32727492796000</v>
      </c>
      <c r="DI70" s="201">
        <f t="shared" si="77"/>
        <v>40024414902000</v>
      </c>
      <c r="EE70" s="218"/>
      <c r="EF70" s="212">
        <f>$EF$69+intermediates!$B$90*(A70-2013)*intermediates!$B$92+intermediates!$B$91*intermediates!$B$92*(A70-2013)^2</f>
        <v>2796.7255785492189</v>
      </c>
      <c r="EH70" s="212">
        <f>IF(A70&lt;intermediates!$B$29,data!EH69,IF(A70&lt;intermediates!$B$31,data!$EH$69+(intermediates!$B$93-data!$EH$69)*(data!A70-intermediates!$B$29)/(intermediates!$B$31-intermediates!$B$29),intermediates!$B$93))</f>
        <v>0.17488936755242579</v>
      </c>
      <c r="EI70" s="212">
        <f>EH70</f>
        <v>0.17488936755242579</v>
      </c>
      <c r="EN70" s="218"/>
      <c r="EO70" s="212">
        <f>EF70*(1-EH70)</f>
        <v>2307.6080108990541</v>
      </c>
      <c r="EQ70" s="212">
        <f>EF70-EO70</f>
        <v>489.1175676501648</v>
      </c>
      <c r="ET70" s="214">
        <f>IF(A70&lt;intermediates!$B$29,ET69+intermediates!$B$63,ET69+intermediates!$B$63*intermediates!$B$67)</f>
        <v>795.72715212567357</v>
      </c>
      <c r="EU70" s="215">
        <f>ET70</f>
        <v>795.72715212567357</v>
      </c>
      <c r="EV70" s="216">
        <f>data!EU70*conversions!$C$13</f>
        <v>0.92543067792215838</v>
      </c>
      <c r="EX70" s="212">
        <f>intermediates!$B$64+intermediates!$B$64*(EXP(-(data!A70-intermediates!$B$66)/intermediates!$B$65)-1)</f>
        <v>2.1556718035428118E-2</v>
      </c>
      <c r="EY70" s="217">
        <f>IF(A70&lt;intermediates!$B$29,data!EX70,data!EY69+(data!EX70-data!EX69)*intermediates!$B$68)</f>
        <v>2.1556718035428118E-2</v>
      </c>
      <c r="EZ70" s="217">
        <f>EY70</f>
        <v>2.1556718035428118E-2</v>
      </c>
      <c r="FB70" s="212">
        <f>intermediates!$B$94+intermediates!$B$95+(intermediates!$B$95*(EXP(-(data!A70-intermediates!$B$97)/intermediates!$B$96)-1))</f>
        <v>1.8425634487141505</v>
      </c>
      <c r="FC70" s="217">
        <f>IF(A70&lt;intermediates!$B$29,data!FB70,data!FC69+(data!FB70-data!FB69)*intermediates!$B$68)</f>
        <v>1.8425634487141505</v>
      </c>
      <c r="FD70" s="212">
        <f>FC70</f>
        <v>1.8425634487141505</v>
      </c>
      <c r="FF70" s="184">
        <f>intermediates!$B$98+intermediates!$B$99*EXP(-(A70-intermediates!$B$101)/intermediates!$B$100)</f>
        <v>0.86201438379275075</v>
      </c>
      <c r="FG70" s="184">
        <f t="shared" ref="FG70:FG133" si="101">FF70</f>
        <v>0.86201438379275075</v>
      </c>
      <c r="FI70" s="184">
        <f>intermediates!$B$102+intermediates!$B$103*EXP(-(A70-intermediates!$B$105)/intermediates!$B$104)</f>
        <v>2.5619543337167643E-2</v>
      </c>
      <c r="FJ70" s="184">
        <f>FI70</f>
        <v>2.5619543337167643E-2</v>
      </c>
      <c r="FL70" s="184">
        <f>intermediates!$B$106</f>
        <v>4.5616870531049965E-2</v>
      </c>
      <c r="FM70" s="184">
        <f>FL70</f>
        <v>4.5616870531049965E-2</v>
      </c>
      <c r="FN70" s="218">
        <f>IF(A70&lt;intermediates!$B$29,0,IF(A70&lt;intermediates!$B$31,(data!A70-intermediates!$B$29)/(intermediates!$B$31-intermediates!$B$29),1))</f>
        <v>0</v>
      </c>
      <c r="FO70" s="218">
        <f t="shared" si="81"/>
        <v>1302413028040123.8</v>
      </c>
      <c r="FP70" s="218">
        <f t="shared" si="21"/>
        <v>1510894774527632</v>
      </c>
      <c r="FQ70" s="218">
        <f t="shared" si="22"/>
        <v>32569932635693.902</v>
      </c>
      <c r="FR70" s="218">
        <f t="shared" si="23"/>
        <v>2783919486397822.5</v>
      </c>
      <c r="FS70" s="218">
        <f t="shared" si="24"/>
        <v>3498585512585.5283</v>
      </c>
      <c r="FT70" s="218">
        <f>intermediates!$B$69*data!EU70/intermediates!$B$71</f>
        <v>2.0253912047129248</v>
      </c>
      <c r="FU70" s="218">
        <f>(Y70+W70)*conversions!$C$1*1000000</f>
        <v>2259867519555.9961</v>
      </c>
      <c r="FV70" s="218">
        <f>FU70/FT70</f>
        <v>1115768407751.2847</v>
      </c>
      <c r="FW70" s="221"/>
      <c r="FX70" s="221"/>
      <c r="FY70" s="221"/>
      <c r="FZ70" s="221"/>
      <c r="GA70" s="218">
        <f t="shared" ref="GA70:GA101" si="102">BF70</f>
        <v>222.09891098992358</v>
      </c>
      <c r="GB70" s="218">
        <f>GA70*1000000*10000*intermediates!$B$71/(intermediates!$B$72*data!EU70)</f>
        <v>1370716126797.6094</v>
      </c>
      <c r="GC70" s="218">
        <f t="shared" si="83"/>
        <v>7722062824678.2744</v>
      </c>
      <c r="GD70" s="218">
        <f>FV70+GB70+GC70+FS70</f>
        <v>13707132871812.695</v>
      </c>
      <c r="GE70" s="218">
        <f>GD70/(1-(FK70+FL70+FJ70))</f>
        <v>14758473605647.785</v>
      </c>
      <c r="GF70" s="218">
        <f t="shared" si="31"/>
        <v>378105354130.33826</v>
      </c>
      <c r="GG70" s="218">
        <f>GE70*FM70</f>
        <v>673235379704.75317</v>
      </c>
      <c r="GH70" s="218">
        <f t="shared" ref="GH70:GH101" si="103">L70*EF70*365/EU70</f>
        <v>9358821133805.8574</v>
      </c>
      <c r="GI70" s="218">
        <f>GC70+FS70-GH70</f>
        <v>1861827203457.9453</v>
      </c>
      <c r="GJ70" s="218">
        <f>ET70*intermediates!$B$73/intermediates!$B$71</f>
        <v>3.0380868070693876</v>
      </c>
      <c r="GK70" s="218">
        <f>CL70*conversions!$C$1*1000000/data!GJ70</f>
        <v>0</v>
      </c>
      <c r="GL70" s="218">
        <f>MIN(1,FN70)*(intermediates!$B$75-data!$GL$69)+data!$GL$69</f>
        <v>4.023535335695938E-2</v>
      </c>
      <c r="GM70" s="218">
        <f>GL70*intermediates!$B$74*(FS70+GC70+GK70+GG70+GF70+GB70+FV70)</f>
        <v>89071860079.889572</v>
      </c>
      <c r="GN70" s="218">
        <f>MIN(1,FN70)*intermediates!$B$76</f>
        <v>0</v>
      </c>
      <c r="GO70" s="218">
        <f>GN70*(GM70+GK70+GG70+GF70+GC70+GB70+FV70+FS70)</f>
        <v>0</v>
      </c>
      <c r="GP70" s="218"/>
      <c r="GQ70" s="218">
        <f>IF(AND(A70&gt;intermediates!$B$29+intermediates!$B$30,data!GP70&lt;intermediates!$B$77),1,0)</f>
        <v>0</v>
      </c>
      <c r="GR70" s="218">
        <f t="shared" ref="GR70:GR101" si="104">GP70*(DG70+DH70)</f>
        <v>0</v>
      </c>
      <c r="GS70" s="218">
        <f t="shared" ref="GS70:GS101" si="105">FQ70+FS70+FV70+GB70+GC70+GF70+GG70+GK70+GM70+GO70+GR70</f>
        <v>47417478101421.57</v>
      </c>
      <c r="GT70" s="218">
        <f t="shared" si="97"/>
        <v>88090534184000</v>
      </c>
      <c r="GU70" s="218">
        <f t="shared" ref="GU70:GU101" si="106">MIN((GT70-GS70),DI70)+GR70</f>
        <v>40024414902000</v>
      </c>
      <c r="GV70" s="218">
        <f t="shared" ref="GV70:GV101" si="107">FS70+FV70+GB70+GC70+GF70+GG70+GK70+GM70</f>
        <v>14847545465727.676</v>
      </c>
      <c r="GW70" s="218">
        <f t="shared" ref="GW70:GW101" si="108">MAX((DG70+DH70)-GS70,0)</f>
        <v>648641180578.42969</v>
      </c>
      <c r="GX70" s="218">
        <f>MIN(intermediates!$B$88,FN70*intermediates!$B$87*GO70)</f>
        <v>0</v>
      </c>
      <c r="GY70" s="218">
        <f t="shared" ref="GY70:GY101" si="109">GO70-GX70</f>
        <v>0</v>
      </c>
      <c r="GZ70" s="218">
        <f>MIN(intermediates!$B$88-GX70,intermediates!$B$87*data!GW70*FN70)</f>
        <v>0</v>
      </c>
      <c r="HA70" s="218">
        <f>GW70-GZ70</f>
        <v>648641180578.42969</v>
      </c>
      <c r="HB70" s="218">
        <f>GX70+GZ70</f>
        <v>0</v>
      </c>
      <c r="HC70" s="218">
        <f t="shared" ref="HC70:HC101" si="110">FQ70+GY70+HA70</f>
        <v>33218573816272.332</v>
      </c>
      <c r="HD70" s="218">
        <f>HC70*intermediates!$B$79/(10000*1000000000)</f>
        <v>2204.8564093417385</v>
      </c>
      <c r="HE70" s="218">
        <f>(GV70*intermediates!$B$80+GV70*GL70*intermediates!$B$82)/(10000*1000000000)</f>
        <v>450.43802356076361</v>
      </c>
      <c r="HF70" s="218">
        <f>GU70*intermediates!$B$78/(10000*1000000000)</f>
        <v>4030.4326620184256</v>
      </c>
      <c r="HG70" s="218">
        <f>HB70*intermediates!$B$81/(10000*1000000000)</f>
        <v>0</v>
      </c>
      <c r="HH70" s="218">
        <f t="shared" ref="HH70:HH101" si="111">IF(HF70&gt;HF69,HF70-HF69,0)</f>
        <v>0</v>
      </c>
      <c r="HI70" s="218">
        <f t="shared" ref="HI70:HI101" si="112">IF(HG70&gt;HG69,HG70-HG69,0)</f>
        <v>0</v>
      </c>
      <c r="HJ70" s="218">
        <f t="shared" ref="HJ70:HJ101" si="113">IF(HF70&gt;HF69,0,HF70-HF69)+IF(HG70&gt;HG69,0,HG70-HG69)+(HD70-HD69)+(HE70-HE69)</f>
        <v>13.269128239539214</v>
      </c>
      <c r="HK70" s="225">
        <f ca="1">SUM(HJ70:INDIRECT(ADDRESS(MAX(CELL("row",HJ70)-intermediates!$B$83,69),CELL("col",HJ70))))/intermediates!$B$83+SUM(HH70:INDIRECT(ADDRESS(MAX(CELL("row",HH70)-intermediates!$B$84,69),CELL("col",HH70))))/intermediates!$B$84+SUM(HI70:INDIRECT(ADDRESS(MAX(CELL("row",HI70)-intermediates!$B$85,69),CELL("col",HI70))))/intermediates!$B$85</f>
        <v>0.53076512958156852</v>
      </c>
      <c r="HL70" s="225">
        <v>0</v>
      </c>
      <c r="HM70" s="188">
        <f t="shared" ref="HM70:HM101" si="114">A70</f>
        <v>2014</v>
      </c>
      <c r="HQ70" s="185">
        <f t="shared" ref="HQ70:HQ101" si="115">(GH70+GF70+GG70)/$L70</f>
        <v>1426.9701114788629</v>
      </c>
      <c r="HR70" s="185">
        <f t="shared" ref="HR70:HR101" si="116">FV70/L70</f>
        <v>152.94365154326329</v>
      </c>
      <c r="HS70" s="185">
        <f t="shared" ref="HS70:HS101" si="117">GB70/$L70</f>
        <v>187.89054090909187</v>
      </c>
      <c r="HT70" s="185">
        <f t="shared" ref="HT70:HT101" si="118">GK70/L70</f>
        <v>0</v>
      </c>
      <c r="HU70" s="185">
        <f t="shared" ref="HU70:HU101" si="119">GM70/L70</f>
        <v>12.209501035994222</v>
      </c>
      <c r="HV70" s="185">
        <f t="shared" ref="HV70:HV101" si="120">GO70/L70</f>
        <v>0</v>
      </c>
      <c r="HW70" s="185">
        <f t="shared" ref="HW70:HW101" si="121">GR70/L70</f>
        <v>0</v>
      </c>
      <c r="HX70" s="185">
        <f t="shared" ref="HX70:HX101" si="122">GI70/$L70</f>
        <v>255.2094583976739</v>
      </c>
      <c r="HY70" s="185">
        <f t="shared" ref="HY70:HY101" si="123">FQ70/L70</f>
        <v>4464.5146727720576</v>
      </c>
      <c r="HZ70" s="185">
        <f>HQ70+HR70+HS70+HT70+HU70+HV70+HW70</f>
        <v>1780.0138049672123</v>
      </c>
      <c r="IA70" s="185">
        <f>HZ70+HX70+HY70</f>
        <v>6499.737936136944</v>
      </c>
      <c r="IB70" s="185">
        <f t="shared" ref="IB70:IB101" si="124">DG70/$L$72</f>
        <v>2055.0082276861649</v>
      </c>
      <c r="IC70" s="185">
        <f t="shared" si="71"/>
        <v>6588.6502498481159</v>
      </c>
      <c r="ID70" s="185">
        <f t="shared" ref="ID70:ID101" si="125">DI70/L70</f>
        <v>5486.3358054129612</v>
      </c>
      <c r="IE70" s="184">
        <f>(HZ70-IC70)/ID70</f>
        <v>-0.87647504918247587</v>
      </c>
      <c r="IF70" s="184">
        <f>(IA70-IC70)/ID70</f>
        <v>-1.620613773284689E-2</v>
      </c>
    </row>
    <row r="71" spans="1:240" x14ac:dyDescent="0.3">
      <c r="A71" s="211">
        <v>2015</v>
      </c>
      <c r="B71" s="207">
        <v>7379796.9670000002</v>
      </c>
      <c r="C71" s="207">
        <v>1327546.6030000001</v>
      </c>
      <c r="D71" s="207">
        <f t="shared" si="98"/>
        <v>6052250.3640000001</v>
      </c>
      <c r="H71" s="207">
        <f t="shared" ref="H71:H76" si="126">1000*B71</f>
        <v>7379796967</v>
      </c>
      <c r="L71" s="187">
        <f t="shared" ref="L71:L76" si="127">H71</f>
        <v>7379796967</v>
      </c>
      <c r="M71" s="184">
        <v>13045.577227629856</v>
      </c>
      <c r="N71" s="184">
        <v>5495.7242064825077</v>
      </c>
      <c r="O71" s="184">
        <v>7549.8530211473453</v>
      </c>
      <c r="P71" s="184">
        <v>4465.7563561701118</v>
      </c>
      <c r="Q71" s="184">
        <v>2980.6284587466321</v>
      </c>
      <c r="R71" s="184">
        <v>3768.9521242663363</v>
      </c>
      <c r="S71" s="184">
        <v>582.78422491505603</v>
      </c>
      <c r="T71" s="184">
        <v>878.94677039973385</v>
      </c>
      <c r="U71" s="184">
        <v>58.998782362656534</v>
      </c>
      <c r="V71" s="184">
        <v>188.12157921053341</v>
      </c>
      <c r="W71" s="184">
        <v>121.38893155879035</v>
      </c>
      <c r="X71" s="184">
        <v>80325.163266296004</v>
      </c>
      <c r="Y71" s="184">
        <f t="shared" si="66"/>
        <v>80.325163266296002</v>
      </c>
      <c r="Z71" s="184">
        <v>9.6175330071469016</v>
      </c>
      <c r="AA71" s="184">
        <v>1.7035260804815064</v>
      </c>
      <c r="AB71" s="184">
        <f>Z71*conversions!$C$6/conversions!$C$8</f>
        <v>35.240879186436686</v>
      </c>
      <c r="AC71" s="184">
        <f>AA71*conversions!$C$6/conversions!$C$8</f>
        <v>6.2421160133873208</v>
      </c>
      <c r="AD71" s="184">
        <f t="shared" si="7"/>
        <v>41.482995199824003</v>
      </c>
      <c r="AE71" s="212">
        <f t="shared" si="43"/>
        <v>11798.121164098136</v>
      </c>
      <c r="AF71" s="212">
        <f t="shared" si="44"/>
        <v>3.5160679080036403</v>
      </c>
      <c r="AG71" s="184">
        <f>M71*conversions!$C$1*1000000/data!L71</f>
        <v>20623.656947419509</v>
      </c>
      <c r="AH71" s="184">
        <f>N71*conversions!$C$1*1000/C71</f>
        <v>48297.198956383894</v>
      </c>
      <c r="AI71" s="184">
        <f>O71*conversions!$C$1*1000/D71</f>
        <v>14553.531873694372</v>
      </c>
      <c r="AK71" s="192">
        <f t="shared" si="84"/>
        <v>20623.656947419509</v>
      </c>
      <c r="AL71" s="192">
        <f t="shared" si="85"/>
        <v>152198400989014.97</v>
      </c>
      <c r="AM71" s="192">
        <f>data!AL71/(1000000*conversions!$C$1)</f>
        <v>13045.577227629856</v>
      </c>
      <c r="AN71" s="192">
        <f t="shared" si="47"/>
        <v>13045.577227629856</v>
      </c>
      <c r="AO71" s="212">
        <f t="shared" si="72"/>
        <v>1.2002121885118082</v>
      </c>
      <c r="AP71" s="212">
        <f t="shared" si="76"/>
        <v>1.204698691888467</v>
      </c>
      <c r="AQ71" s="212">
        <f t="shared" si="73"/>
        <v>3.1599318091802791E-3</v>
      </c>
      <c r="AR71" s="212">
        <f t="shared" si="96"/>
        <v>0.28825501907442685</v>
      </c>
      <c r="AS71" s="212">
        <f t="shared" si="74"/>
        <v>0.24827254270110188</v>
      </c>
      <c r="AT71" s="212">
        <f t="shared" si="86"/>
        <v>9.3049873869662809E-3</v>
      </c>
      <c r="AU71" s="212">
        <f t="shared" si="67"/>
        <v>6.1572716840901046E-3</v>
      </c>
      <c r="BE71" s="214">
        <f>MAX(0,MIN(1,(data!A71-intermediates!$B$29)/(intermediates!$B$31-intermediates!$B$29)))*((intermediates!$B$38*L71)-$BE$69*1000000000)/1000000000+$BE$69</f>
        <v>222.09891098992358</v>
      </c>
      <c r="BF71" s="214">
        <f t="shared" si="99"/>
        <v>222.09891098992358</v>
      </c>
      <c r="BR71" s="212" t="str">
        <f t="shared" si="87"/>
        <v/>
      </c>
      <c r="CD71" s="173">
        <f t="shared" si="100"/>
        <v>2015</v>
      </c>
      <c r="CE71" s="173">
        <f t="shared" si="88"/>
        <v>4465.7563561701118</v>
      </c>
      <c r="CF71" s="173">
        <f t="shared" si="89"/>
        <v>2980.6284587466321</v>
      </c>
      <c r="CG71" s="173">
        <f t="shared" si="90"/>
        <v>3768.9521242663363</v>
      </c>
      <c r="CH71" s="173">
        <f t="shared" si="91"/>
        <v>582.78422491505603</v>
      </c>
      <c r="CI71" s="173"/>
      <c r="CJ71" s="173">
        <f t="shared" si="92"/>
        <v>878.94677039973385</v>
      </c>
      <c r="CK71" s="173">
        <f t="shared" si="93"/>
        <v>201.71409482508636</v>
      </c>
      <c r="CL71" s="173">
        <v>0</v>
      </c>
      <c r="CM71" s="173">
        <f t="shared" si="65"/>
        <v>58.998782362656534</v>
      </c>
      <c r="CN71" s="173">
        <f t="shared" si="62"/>
        <v>188.12157921053341</v>
      </c>
      <c r="CO71" s="173"/>
      <c r="CP71" s="174"/>
      <c r="CQ71" s="174"/>
      <c r="CR71" s="174"/>
      <c r="CS71" s="214"/>
      <c r="CT71" s="190">
        <f t="shared" si="94"/>
        <v>5.621156704625097</v>
      </c>
      <c r="CU71" s="190">
        <f t="shared" si="95"/>
        <v>41.482995199824003</v>
      </c>
      <c r="CV71" s="198">
        <f t="shared" si="59"/>
        <v>2147.7890360614956</v>
      </c>
      <c r="CW71" s="198">
        <f t="shared" si="60"/>
        <v>2147.7890360614956</v>
      </c>
      <c r="CX71" s="198">
        <v>2147.7890360614956</v>
      </c>
      <c r="CY71" s="198">
        <f t="shared" si="61"/>
        <v>0</v>
      </c>
      <c r="CZ71" s="199">
        <f>IF(CX71&lt;intermediates!$B$55,intermediates!$B$56+(CX71-intermediates!$B$55)*intermediates!$B$53,intermediates!$B$56+(data!CX71-intermediates!$B$55)*intermediates!$B$58)</f>
        <v>1.1370587846259106</v>
      </c>
      <c r="DA71" s="220">
        <v>1550527.1843999999</v>
      </c>
      <c r="DB71" s="220">
        <v>3247027.3435</v>
      </c>
      <c r="DC71" s="220">
        <v>3999133.622</v>
      </c>
      <c r="DD71" s="209">
        <f t="shared" si="33"/>
        <v>1.0673248911857232E-2</v>
      </c>
      <c r="DE71" s="209">
        <f t="shared" si="34"/>
        <v>-7.8746498573911729E-3</v>
      </c>
      <c r="DF71" s="209">
        <f t="shared" si="75"/>
        <v>-8.2714620531874536E-4</v>
      </c>
      <c r="DG71" s="201">
        <f t="shared" si="77"/>
        <v>15505271844000</v>
      </c>
      <c r="DH71" s="201">
        <f t="shared" si="77"/>
        <v>32470273435000</v>
      </c>
      <c r="DI71" s="201">
        <f t="shared" si="77"/>
        <v>39991336220000</v>
      </c>
      <c r="DJ71" s="221"/>
      <c r="DM71" s="221"/>
      <c r="DP71" s="221"/>
      <c r="DS71" s="221"/>
      <c r="DV71" s="221"/>
      <c r="DY71" s="221"/>
      <c r="EB71" s="221"/>
      <c r="EE71" s="218"/>
      <c r="EF71" s="212">
        <f>$EF$69+intermediates!$B$90*(A71-2013)*intermediates!$B$92+intermediates!$B$91*intermediates!$B$92*(A71-2013)^2</f>
        <v>2804.5746685492186</v>
      </c>
      <c r="EH71" s="212">
        <f>IF(A71&lt;intermediates!$B$29,data!EH70,IF(A71&lt;intermediates!$B$31,data!$EH$69+(intermediates!$B$93-data!$EH$69)*(data!A71-intermediates!$B$29)/(intermediates!$B$31-intermediates!$B$29),intermediates!$B$93))</f>
        <v>0.17488936755242579</v>
      </c>
      <c r="EI71" s="212">
        <f t="shared" ref="EI71:EI134" si="128">EH71</f>
        <v>0.17488936755242579</v>
      </c>
      <c r="EN71" s="218"/>
      <c r="EO71" s="212">
        <f t="shared" ref="EO71:EO134" si="129">EF71*(1-EH71)</f>
        <v>2314.0843785130915</v>
      </c>
      <c r="EQ71" s="212">
        <f t="shared" ref="EQ71:EQ134" si="130">EF71-EO71</f>
        <v>490.49029003612713</v>
      </c>
      <c r="ET71" s="214">
        <f>IF(A71&lt;intermediates!$B$29,ET70+intermediates!$B$63,ET70+intermediates!$B$63*intermediates!$B$67)</f>
        <v>805.70274151711635</v>
      </c>
      <c r="EU71" s="215">
        <f t="shared" ref="EU71:EU134" si="131">ET71</f>
        <v>805.70274151711635</v>
      </c>
      <c r="EV71" s="216">
        <f>data!EU71*conversions!$C$13</f>
        <v>0.93703228838440633</v>
      </c>
      <c r="EX71" s="212">
        <f>intermediates!$B$64+intermediates!$B$64*(EXP(-(data!A71-intermediates!$B$66)/intermediates!$B$65)-1)</f>
        <v>2.1155968159828602E-2</v>
      </c>
      <c r="EY71" s="217">
        <f>IF(A71&lt;intermediates!$B$29,data!EX71,data!EY70+(data!EX71-data!EX70)*intermediates!$B$68)</f>
        <v>2.1155968159828602E-2</v>
      </c>
      <c r="EZ71" s="217">
        <f t="shared" ref="EZ71:EZ134" si="132">EY71</f>
        <v>2.1155968159828602E-2</v>
      </c>
      <c r="FB71" s="212">
        <f>intermediates!$B$94+intermediates!$B$95+(intermediates!$B$95*(EXP(-(data!A71-intermediates!$B$97)/intermediates!$B$96)-1))</f>
        <v>1.8332215864019037</v>
      </c>
      <c r="FC71" s="217">
        <f>IF(A71&lt;intermediates!$B$29,data!FB71,data!FC70+(data!FB71-data!FB70)*intermediates!$B$68)</f>
        <v>1.8332215864019037</v>
      </c>
      <c r="FD71" s="212">
        <f t="shared" ref="FD71:FD134" si="133">FC71</f>
        <v>1.8332215864019037</v>
      </c>
      <c r="FF71" s="184">
        <f>intermediates!$B$98+intermediates!$B$99*EXP(-(A71-intermediates!$B$101)/intermediates!$B$100)</f>
        <v>0.86306434508480234</v>
      </c>
      <c r="FG71" s="184">
        <f t="shared" si="101"/>
        <v>0.86306434508480234</v>
      </c>
      <c r="FI71" s="184">
        <f>intermediates!$B$102+intermediates!$B$103*EXP(-(A71-intermediates!$B$105)/intermediates!$B$104)</f>
        <v>2.5278272902646701E-2</v>
      </c>
      <c r="FJ71" s="184">
        <f t="shared" ref="FJ71:FJ134" si="134">FI71</f>
        <v>2.5278272902646701E-2</v>
      </c>
      <c r="FL71" s="184">
        <f>intermediates!$B$106</f>
        <v>4.5616870531049965E-2</v>
      </c>
      <c r="FM71" s="184">
        <f t="shared" ref="FM71:FM134" si="135">FL71</f>
        <v>4.5616870531049965E-2</v>
      </c>
      <c r="FN71" s="218">
        <f>IF(A71&lt;intermediates!$B$29,0,IF(A71&lt;intermediates!$B$31,(data!A71-intermediates!$B$29)/(intermediates!$B$31-intermediates!$B$29),1))</f>
        <v>0</v>
      </c>
      <c r="FO71" s="218">
        <f t="shared" si="81"/>
        <v>1321197345484320</v>
      </c>
      <c r="FP71" s="218">
        <f t="shared" si="21"/>
        <v>1530821372715267</v>
      </c>
      <c r="FQ71" s="218">
        <f t="shared" si="22"/>
        <v>32386008219549.301</v>
      </c>
      <c r="FR71" s="218">
        <f t="shared" si="23"/>
        <v>2806334785387021.5</v>
      </c>
      <c r="FS71" s="218">
        <f t="shared" si="24"/>
        <v>3483089532626.8462</v>
      </c>
      <c r="FT71" s="218">
        <f>intermediates!$B$69*data!EU71/intermediates!$B$71</f>
        <v>2.05078240942585</v>
      </c>
      <c r="FU71" s="218">
        <f>(Y71+W71)*conversions!$C$1*1000000</f>
        <v>2353331106292.6743</v>
      </c>
      <c r="FV71" s="218">
        <f t="shared" si="41"/>
        <v>1147528424018.1912</v>
      </c>
      <c r="FW71" s="221"/>
      <c r="FX71" s="221"/>
      <c r="FY71" s="221"/>
      <c r="FZ71" s="221"/>
      <c r="GA71" s="218">
        <f t="shared" si="102"/>
        <v>222.09891098992358</v>
      </c>
      <c r="GB71" s="218">
        <f>GA71*1000000*10000*intermediates!$B$71/(intermediates!$B$72*data!EU71)</f>
        <v>1353744977825.9495</v>
      </c>
      <c r="GC71" s="218">
        <f t="shared" si="83"/>
        <v>7736448294452.1816</v>
      </c>
      <c r="GD71" s="218">
        <f>FV71+GB71+GC71+FS71</f>
        <v>13720811228923.168</v>
      </c>
      <c r="GE71" s="218">
        <f>GD71/(1-(FK71+FL71+FJ71))</f>
        <v>14767774737106.883</v>
      </c>
      <c r="GF71" s="218">
        <f t="shared" si="31"/>
        <v>373303839969.39941</v>
      </c>
      <c r="GG71" s="218">
        <f t="shared" ref="GG71:GG134" si="136">GE71*FM71</f>
        <v>673659668214.31506</v>
      </c>
      <c r="GH71" s="218">
        <f t="shared" si="103"/>
        <v>9376255728887.0469</v>
      </c>
      <c r="GI71" s="218">
        <f>GC71+FS71-GH71</f>
        <v>1843282098191.9805</v>
      </c>
      <c r="GJ71" s="218">
        <f>ET71*intermediates!$B$73/intermediates!$B$71</f>
        <v>3.0761736141387748</v>
      </c>
      <c r="GK71" s="218">
        <f>CL71*conversions!$C$1*1000000/data!GJ71</f>
        <v>0</v>
      </c>
      <c r="GL71" s="218">
        <f>MIN(1,FN71)*(intermediates!$B$75-data!$GL$69)+data!$GL$69</f>
        <v>4.023535335695938E-2</v>
      </c>
      <c r="GM71" s="218">
        <f>GL71*intermediates!$B$74*(FS71+GC71+GK71+GG71+GF71+GB71+FV71)</f>
        <v>89127995226.520996</v>
      </c>
      <c r="GN71" s="218">
        <f>MIN(1,FN71)*intermediates!$B$76</f>
        <v>0</v>
      </c>
      <c r="GO71" s="218">
        <f t="shared" ref="GO71:GO134" si="137">GN71*(GM71+GK71+GG71+GF71+GC71+GB71+FV71+FS71)</f>
        <v>0</v>
      </c>
      <c r="GP71" s="218"/>
      <c r="GQ71" s="218">
        <f>IF(AND(A71&gt;intermediates!$B$29+intermediates!$B$30,data!GP71&lt;intermediates!$B$77),1,0)</f>
        <v>0</v>
      </c>
      <c r="GR71" s="218">
        <f t="shared" si="104"/>
        <v>0</v>
      </c>
      <c r="GS71" s="218">
        <f t="shared" si="105"/>
        <v>47242910951882.703</v>
      </c>
      <c r="GT71" s="218">
        <f t="shared" si="97"/>
        <v>87966881499000</v>
      </c>
      <c r="GU71" s="218">
        <f t="shared" si="106"/>
        <v>39991336220000</v>
      </c>
      <c r="GV71" s="218">
        <f t="shared" si="107"/>
        <v>14856902732333.402</v>
      </c>
      <c r="GW71" s="218">
        <f t="shared" si="108"/>
        <v>732634327117.29688</v>
      </c>
      <c r="GX71" s="218">
        <f>MIN(intermediates!$B$88,FN71*intermediates!$B$87*GO71)</f>
        <v>0</v>
      </c>
      <c r="GY71" s="218">
        <f t="shared" si="109"/>
        <v>0</v>
      </c>
      <c r="GZ71" s="218">
        <f>MIN(intermediates!$B$88-GX71,intermediates!$B$87*data!GW71*FN71)</f>
        <v>0</v>
      </c>
      <c r="HA71" s="218">
        <f t="shared" ref="HA71:HA134" si="138">GW71-GZ71</f>
        <v>732634327117.29688</v>
      </c>
      <c r="HB71" s="218">
        <f t="shared" ref="HB71:HB134" si="139">GX71+GZ71</f>
        <v>0</v>
      </c>
      <c r="HC71" s="218">
        <f t="shared" si="110"/>
        <v>33118642546666.598</v>
      </c>
      <c r="HD71" s="218">
        <f>HC71*intermediates!$B$79/(10000*1000000000)</f>
        <v>2198.2235508240155</v>
      </c>
      <c r="HE71" s="218">
        <f>(GV71*intermediates!$B$80+GV71*GL71*intermediates!$B$82)/(10000*1000000000)</f>
        <v>450.721900022738</v>
      </c>
      <c r="HF71" s="218">
        <f>GU71*intermediates!$B$78/(10000*1000000000)</f>
        <v>4027.1016601617903</v>
      </c>
      <c r="HG71" s="218">
        <f>HB71*intermediates!$B$81/(10000*1000000000)</f>
        <v>0</v>
      </c>
      <c r="HH71" s="218">
        <f t="shared" si="111"/>
        <v>0</v>
      </c>
      <c r="HI71" s="218">
        <f t="shared" si="112"/>
        <v>0</v>
      </c>
      <c r="HJ71" s="218">
        <f t="shared" si="113"/>
        <v>-9.679983912383932</v>
      </c>
      <c r="HK71" s="225">
        <f ca="1">SUM(HJ71:INDIRECT(ADDRESS(MAX(CELL("row",HJ71)-intermediates!$B$83,69),CELL("col",HJ71))))/intermediates!$B$83+SUM(HH71:INDIRECT(ADDRESS(MAX(CELL("row",HH71)-intermediates!$B$84,69),CELL("col",HH71))))/intermediates!$B$84+SUM(HI71:INDIRECT(ADDRESS(MAX(CELL("row",HI71)-intermediates!$B$85,69),CELL("col",HI71))))/intermediates!$B$85</f>
        <v>0.14356577308621127</v>
      </c>
      <c r="HL71" s="225">
        <v>0</v>
      </c>
      <c r="HM71" s="188">
        <f t="shared" si="114"/>
        <v>2015</v>
      </c>
      <c r="HQ71" s="185">
        <f t="shared" si="115"/>
        <v>1412.3991870887414</v>
      </c>
      <c r="HR71" s="185">
        <f t="shared" si="116"/>
        <v>155.49593425802323</v>
      </c>
      <c r="HS71" s="185">
        <f t="shared" si="117"/>
        <v>183.4393254827263</v>
      </c>
      <c r="HT71" s="185">
        <f t="shared" si="118"/>
        <v>0</v>
      </c>
      <c r="HU71" s="185">
        <f t="shared" si="119"/>
        <v>12.077296384314064</v>
      </c>
      <c r="HV71" s="185">
        <f t="shared" si="120"/>
        <v>0</v>
      </c>
      <c r="HW71" s="185">
        <f t="shared" si="121"/>
        <v>0</v>
      </c>
      <c r="HX71" s="185">
        <f t="shared" si="122"/>
        <v>249.77409357391883</v>
      </c>
      <c r="HY71" s="185">
        <f t="shared" si="123"/>
        <v>4388.4687294743699</v>
      </c>
      <c r="HZ71" s="185">
        <f t="shared" ref="HZ71:HZ134" si="140">HQ71+HR71+HS71+HT71+HU71+HV71+HW71</f>
        <v>1763.4117432138048</v>
      </c>
      <c r="IA71" s="185">
        <f t="shared" ref="IA71:IA134" si="141">HZ71+HX71+HY71</f>
        <v>6401.6545662620938</v>
      </c>
      <c r="IB71" s="185">
        <f t="shared" si="124"/>
        <v>2077.33471057616</v>
      </c>
      <c r="IC71" s="185">
        <f t="shared" si="71"/>
        <v>6500.9302415135126</v>
      </c>
      <c r="ID71" s="185">
        <f t="shared" si="125"/>
        <v>5419.0293308647879</v>
      </c>
      <c r="IE71" s="184">
        <f t="shared" ref="IE71:IE134" si="142">(HZ71-IC71)/ID71</f>
        <v>-0.87423747114940931</v>
      </c>
      <c r="IF71" s="184">
        <f t="shared" ref="IF71:IF134" si="143">(IA71-IC71)/ID71</f>
        <v>-1.8319826151517803E-2</v>
      </c>
    </row>
    <row r="72" spans="1:240" x14ac:dyDescent="0.3">
      <c r="A72" s="211">
        <v>2016</v>
      </c>
      <c r="B72" s="207">
        <v>7464021.9340000004</v>
      </c>
      <c r="C72" s="207">
        <v>1335542.9790000001</v>
      </c>
      <c r="D72" s="207">
        <f t="shared" si="98"/>
        <v>6128478.9550000001</v>
      </c>
      <c r="H72" s="207">
        <f t="shared" si="126"/>
        <v>7464021934</v>
      </c>
      <c r="L72" s="187">
        <f t="shared" si="127"/>
        <v>7464021934</v>
      </c>
      <c r="M72" s="184">
        <v>13228.584123461531</v>
      </c>
      <c r="N72" s="184">
        <v>5530.6323542712307</v>
      </c>
      <c r="O72" s="184">
        <v>7697.9517691902956</v>
      </c>
      <c r="P72" s="184">
        <v>4548.2755141129082</v>
      </c>
      <c r="Q72" s="184">
        <v>3052.6117332424992</v>
      </c>
      <c r="R72" s="184">
        <v>3710.0472347998088</v>
      </c>
      <c r="S72" s="184">
        <v>591.7640491854263</v>
      </c>
      <c r="T72" s="184">
        <v>909.11521319946382</v>
      </c>
      <c r="U72" s="184">
        <v>74.303777541237352</v>
      </c>
      <c r="V72" s="184">
        <v>216.5166181393198</v>
      </c>
      <c r="W72" s="184">
        <v>125.94998324086806</v>
      </c>
      <c r="X72" s="184">
        <v>83206.538525468699</v>
      </c>
      <c r="Y72" s="184">
        <f t="shared" si="66"/>
        <v>83.206538525468702</v>
      </c>
      <c r="Z72" s="184">
        <v>9.6560272425605636</v>
      </c>
      <c r="AA72" s="184">
        <v>1.5374064906759051</v>
      </c>
      <c r="AB72" s="184">
        <f>Z72*conversions!$C$6/conversions!$C$8</f>
        <v>35.381931023594824</v>
      </c>
      <c r="AC72" s="184">
        <f>AA72*conversions!$C$6/conversions!$C$8</f>
        <v>5.6334151760219289</v>
      </c>
      <c r="AD72" s="184">
        <f t="shared" si="7"/>
        <v>41.015346199616751</v>
      </c>
      <c r="AE72" s="212">
        <f t="shared" si="43"/>
        <v>11902.698531340644</v>
      </c>
      <c r="AF72" s="212">
        <f t="shared" si="44"/>
        <v>3.4458863333907397</v>
      </c>
      <c r="AG72" s="184">
        <f>M72*conversions!$C$1*1000000/data!L72</f>
        <v>20676.9865904824</v>
      </c>
      <c r="AH72" s="184">
        <f>N72*conversions!$C$1*1000/C72</f>
        <v>48312.967195917059</v>
      </c>
      <c r="AI72" s="184">
        <f>O72*conversions!$C$1*1000/D72</f>
        <v>14654.4416594509</v>
      </c>
      <c r="AK72" s="192">
        <f t="shared" si="84"/>
        <v>20676.9865904824</v>
      </c>
      <c r="AL72" s="192">
        <f t="shared" si="85"/>
        <v>154333481440384.5</v>
      </c>
      <c r="AM72" s="192">
        <f>data!AL72/(1000000*conversions!$C$1)</f>
        <v>13228.584123461529</v>
      </c>
      <c r="AN72" s="192">
        <f t="shared" si="47"/>
        <v>13228.584123461529</v>
      </c>
      <c r="AO72" s="212">
        <f t="shared" si="72"/>
        <v>1.176837043411433</v>
      </c>
      <c r="AP72" s="212">
        <f>AVERAGE(AO70:AO74)</f>
        <v>1.1880657577668128</v>
      </c>
      <c r="AQ72" s="212">
        <f t="shared" si="73"/>
        <v>3.3034551316692405E-3</v>
      </c>
      <c r="AR72" s="212">
        <f t="shared" si="96"/>
        <v>30.168442799729974</v>
      </c>
      <c r="AS72" s="212">
        <f t="shared" si="74"/>
        <v>2.8813752591726995</v>
      </c>
      <c r="AT72" s="212">
        <f t="shared" si="86"/>
        <v>9.521047911506245E-3</v>
      </c>
      <c r="AU72" s="212">
        <f t="shared" si="67"/>
        <v>6.2899050834849292E-3</v>
      </c>
      <c r="BE72" s="214">
        <f>MAX(0,MIN(1,(data!A72-intermediates!$B$29)/(intermediates!$B$31-intermediates!$B$29)))*((intermediates!$B$38*L72)-$BE$69*1000000000)/1000000000+$BE$69</f>
        <v>222.09891098992358</v>
      </c>
      <c r="BF72" s="214">
        <f t="shared" si="99"/>
        <v>222.09891098992358</v>
      </c>
      <c r="BR72" s="212" t="str">
        <f t="shared" si="87"/>
        <v/>
      </c>
      <c r="CD72" s="173">
        <f t="shared" si="100"/>
        <v>2016</v>
      </c>
      <c r="CE72" s="173">
        <f t="shared" si="88"/>
        <v>4548.2755141129082</v>
      </c>
      <c r="CF72" s="173">
        <f t="shared" si="89"/>
        <v>3052.6117332424992</v>
      </c>
      <c r="CG72" s="173">
        <f t="shared" si="90"/>
        <v>3710.0472347998088</v>
      </c>
      <c r="CH72" s="173">
        <f t="shared" si="91"/>
        <v>591.7640491854263</v>
      </c>
      <c r="CI72" s="173"/>
      <c r="CJ72" s="173">
        <f t="shared" si="92"/>
        <v>909.11521319946382</v>
      </c>
      <c r="CK72" s="173">
        <f t="shared" si="93"/>
        <v>209.15652176633677</v>
      </c>
      <c r="CL72" s="173">
        <v>0</v>
      </c>
      <c r="CM72" s="173">
        <f t="shared" si="65"/>
        <v>74.303777541237352</v>
      </c>
      <c r="CN72" s="173">
        <f t="shared" si="62"/>
        <v>216.5166181393198</v>
      </c>
      <c r="CO72" s="173"/>
      <c r="CP72" s="174"/>
      <c r="CQ72" s="174"/>
      <c r="CR72" s="174"/>
      <c r="CS72" s="214"/>
      <c r="CT72" s="190">
        <f t="shared" si="94"/>
        <v>5.4950731070047194</v>
      </c>
      <c r="CU72" s="190">
        <f t="shared" si="95"/>
        <v>41.015346199616751</v>
      </c>
      <c r="CV72" s="198">
        <f t="shared" si="59"/>
        <v>2188.8043822611121</v>
      </c>
      <c r="CW72" s="198">
        <f t="shared" si="60"/>
        <v>2188.8043822611121</v>
      </c>
      <c r="CX72" s="198">
        <v>2188.8043822611121</v>
      </c>
      <c r="CY72" s="198">
        <f t="shared" si="61"/>
        <v>0</v>
      </c>
      <c r="CZ72" s="199">
        <f>IF(CX72&lt;intermediates!$B$55,intermediates!$B$56+(CX72-intermediates!$B$55)*intermediates!$B$53,intermediates!$B$56+(data!CX72-intermediates!$B$55)*intermediates!$B$58)</f>
        <v>1.15936291749059</v>
      </c>
      <c r="DA72" s="220">
        <v>1555726.3200999999</v>
      </c>
      <c r="DB72" s="220">
        <v>3239060.7925999998</v>
      </c>
      <c r="DC72" s="220">
        <v>3999133.622</v>
      </c>
      <c r="DD72" s="209">
        <f t="shared" si="33"/>
        <v>3.3299259048441706E-3</v>
      </c>
      <c r="DE72" s="209">
        <f t="shared" si="34"/>
        <v>-2.4389221194195242E-3</v>
      </c>
      <c r="DF72" s="209">
        <f t="shared" si="75"/>
        <v>0</v>
      </c>
      <c r="DG72" s="201">
        <f t="shared" si="77"/>
        <v>15557263200999.998</v>
      </c>
      <c r="DH72" s="201">
        <f t="shared" si="77"/>
        <v>32390607926000</v>
      </c>
      <c r="DI72" s="201">
        <f t="shared" si="77"/>
        <v>39991336220000</v>
      </c>
      <c r="DJ72" s="221"/>
      <c r="DM72" s="221"/>
      <c r="DP72" s="221"/>
      <c r="DS72" s="221"/>
      <c r="DV72" s="221"/>
      <c r="DY72" s="221"/>
      <c r="EB72" s="221"/>
      <c r="EE72" s="218"/>
      <c r="EF72" s="212">
        <f>$EF$69+intermediates!$B$90*(A72-2013)*intermediates!$B$92+intermediates!$B$91*intermediates!$B$92*(A72-2013)^2</f>
        <v>2812.3423585492187</v>
      </c>
      <c r="EH72" s="212">
        <f>IF(A72&lt;intermediates!$B$29,data!EH71,IF(A72&lt;intermediates!$B$31,data!$EH$69+(intermediates!$B$93-data!$EH$69)*(data!A72-intermediates!$B$29)/(intermediates!$B$31-intermediates!$B$29),intermediates!$B$93))</f>
        <v>0.17488936755242579</v>
      </c>
      <c r="EI72" s="212">
        <f t="shared" si="128"/>
        <v>0.17488936755242579</v>
      </c>
      <c r="EN72" s="218"/>
      <c r="EO72" s="212">
        <f t="shared" si="129"/>
        <v>2320.4935821216482</v>
      </c>
      <c r="EQ72" s="212">
        <f t="shared" si="130"/>
        <v>491.84877642757056</v>
      </c>
      <c r="ET72" s="214">
        <f>IF(A72&lt;intermediates!$B$29,ET71+intermediates!$B$63,ET71+intermediates!$B$63*intermediates!$B$67)</f>
        <v>815.67833090855913</v>
      </c>
      <c r="EU72" s="215">
        <f t="shared" si="131"/>
        <v>815.67833090855913</v>
      </c>
      <c r="EV72" s="216">
        <f>data!EU72*conversions!$C$13</f>
        <v>0.94863389884665428</v>
      </c>
      <c r="EX72" s="212">
        <f>intermediates!$B$64+intermediates!$B$64*(EXP(-(data!A72-intermediates!$B$66)/intermediates!$B$65)-1)</f>
        <v>2.0762668419380882E-2</v>
      </c>
      <c r="EY72" s="217">
        <f>IF(A72&lt;intermediates!$B$29,data!EX72,data!EY71+(data!EX72-data!EX71)*intermediates!$B$68)</f>
        <v>2.0762668419380882E-2</v>
      </c>
      <c r="EZ72" s="217">
        <f t="shared" si="132"/>
        <v>2.0762668419380882E-2</v>
      </c>
      <c r="FB72" s="212">
        <f>intermediates!$B$94+intermediates!$B$95+(intermediates!$B$95*(EXP(-(data!A72-intermediates!$B$97)/intermediates!$B$96)-1))</f>
        <v>1.8241344809581688</v>
      </c>
      <c r="FC72" s="217">
        <f>IF(A72&lt;intermediates!$B$29,data!FB72,data!FC71+(data!FB72-data!FB71)*intermediates!$B$68)</f>
        <v>1.8241344809581688</v>
      </c>
      <c r="FD72" s="212">
        <f t="shared" si="133"/>
        <v>1.8241344809581688</v>
      </c>
      <c r="FF72" s="184">
        <f>intermediates!$B$98+intermediates!$B$99*EXP(-(A72-intermediates!$B$101)/intermediates!$B$100)</f>
        <v>0.86409133243587022</v>
      </c>
      <c r="FG72" s="184">
        <f t="shared" si="101"/>
        <v>0.86409133243587022</v>
      </c>
      <c r="FI72" s="184">
        <f>intermediates!$B$102+intermediates!$B$103*EXP(-(A72-intermediates!$B$105)/intermediates!$B$104)</f>
        <v>2.4945947905493412E-2</v>
      </c>
      <c r="FJ72" s="184">
        <f t="shared" si="134"/>
        <v>2.4945947905493412E-2</v>
      </c>
      <c r="FL72" s="184">
        <f>intermediates!$B$106</f>
        <v>4.5616870531049965E-2</v>
      </c>
      <c r="FM72" s="184">
        <f t="shared" si="135"/>
        <v>4.5616870531049965E-2</v>
      </c>
      <c r="FN72" s="218">
        <f>IF(A72&lt;intermediates!$B$29,0,IF(A72&lt;intermediates!$B$31,(data!A72-intermediates!$B$29)/(intermediates!$B$31-intermediates!$B$29),1))</f>
        <v>0</v>
      </c>
      <c r="FO72" s="218">
        <f t="shared" si="81"/>
        <v>1339977070245253.8</v>
      </c>
      <c r="FP72" s="218">
        <f t="shared" si="21"/>
        <v>1550735460414657</v>
      </c>
      <c r="FQ72" s="218">
        <f t="shared" si="22"/>
        <v>32197406170765.473</v>
      </c>
      <c r="FR72" s="218">
        <f t="shared" si="23"/>
        <v>2828750024186917</v>
      </c>
      <c r="FS72" s="218">
        <f t="shared" si="24"/>
        <v>3467972504597.5649</v>
      </c>
      <c r="FT72" s="218">
        <f>intermediates!$B$69*data!EU72/intermediates!$B$71</f>
        <v>2.0761736141387748</v>
      </c>
      <c r="FU72" s="218">
        <f>(Y72+W72)*conversions!$C$1*1000000</f>
        <v>2440159420607.2622</v>
      </c>
      <c r="FV72" s="218">
        <f t="shared" si="41"/>
        <v>1175315688432.6716</v>
      </c>
      <c r="FW72" s="221"/>
      <c r="FX72" s="221"/>
      <c r="FY72" s="221"/>
      <c r="FZ72" s="221"/>
      <c r="GA72" s="218">
        <f t="shared" si="102"/>
        <v>222.09891098992358</v>
      </c>
      <c r="GB72" s="218">
        <f>GA72*1000000*10000*intermediates!$B$71/(intermediates!$B$72*data!EU72)</f>
        <v>1337188936641.8257</v>
      </c>
      <c r="GC72" s="218">
        <f t="shared" si="83"/>
        <v>7750455336983.0986</v>
      </c>
      <c r="GD72" s="218">
        <f t="shared" ref="GD72:GD135" si="144">FV72+GB72+GC72+FS72</f>
        <v>13730932466655.16</v>
      </c>
      <c r="GE72" s="218">
        <f t="shared" si="30"/>
        <v>14773384085579.205</v>
      </c>
      <c r="GF72" s="218">
        <f t="shared" si="31"/>
        <v>368536069786.70428</v>
      </c>
      <c r="GG72" s="218">
        <f t="shared" si="136"/>
        <v>673915549137.34058</v>
      </c>
      <c r="GH72" s="218">
        <f t="shared" si="103"/>
        <v>9393231685783.1133</v>
      </c>
      <c r="GI72" s="218">
        <f>GC72+FS72-GH72</f>
        <v>1825196155797.5508</v>
      </c>
      <c r="GJ72" s="218">
        <f>ET72*intermediates!$B$73/intermediates!$B$71</f>
        <v>3.1142604212081624</v>
      </c>
      <c r="GK72" s="218">
        <f>CL72*conversions!$C$1*1000000/data!GJ72</f>
        <v>0</v>
      </c>
      <c r="GL72" s="218">
        <f>MIN(1,FN72)*(intermediates!$B$75-data!$GL$69)+data!$GL$69</f>
        <v>4.023535335695938E-2</v>
      </c>
      <c r="GM72" s="218">
        <f>GL72*intermediates!$B$74*(FS72+GC72+GK72+GG72+GF72+GB72+FV72)</f>
        <v>89161849344.203949</v>
      </c>
      <c r="GN72" s="218">
        <f>MIN(1,FN72)*intermediates!$B$76</f>
        <v>0</v>
      </c>
      <c r="GO72" s="218">
        <f t="shared" si="137"/>
        <v>0</v>
      </c>
      <c r="GP72" s="218"/>
      <c r="GQ72" s="218">
        <f>IF(AND(A72&gt;intermediates!$B$29+intermediates!$B$30,data!GP72&lt;intermediates!$B$77),1,0)</f>
        <v>0</v>
      </c>
      <c r="GR72" s="218">
        <f t="shared" si="104"/>
        <v>0</v>
      </c>
      <c r="GS72" s="218">
        <f t="shared" si="105"/>
        <v>47059952105688.891</v>
      </c>
      <c r="GT72" s="218">
        <f t="shared" si="97"/>
        <v>87939207347000</v>
      </c>
      <c r="GU72" s="218">
        <f t="shared" si="106"/>
        <v>39991336220000</v>
      </c>
      <c r="GV72" s="218">
        <f t="shared" si="107"/>
        <v>14862545934923.408</v>
      </c>
      <c r="GW72" s="218">
        <f t="shared" si="108"/>
        <v>887919021311.10938</v>
      </c>
      <c r="GX72" s="218">
        <f>MIN(intermediates!$B$88,FN72*intermediates!$B$87*GO72)</f>
        <v>0</v>
      </c>
      <c r="GY72" s="218">
        <f t="shared" si="109"/>
        <v>0</v>
      </c>
      <c r="GZ72" s="218">
        <f>MIN(intermediates!$B$88-GX72,intermediates!$B$87*data!GW72*FN72)</f>
        <v>0</v>
      </c>
      <c r="HA72" s="218">
        <f t="shared" si="138"/>
        <v>887919021311.10938</v>
      </c>
      <c r="HB72" s="218">
        <f t="shared" si="139"/>
        <v>0</v>
      </c>
      <c r="HC72" s="218">
        <f t="shared" si="110"/>
        <v>33085325192076.582</v>
      </c>
      <c r="HD72" s="218">
        <f>HC72*intermediates!$B$79/(10000*1000000000)</f>
        <v>2196.0121379194038</v>
      </c>
      <c r="HE72" s="218">
        <f>(GV72*intermediates!$B$80+GV72*GL72*intermediates!$B$82)/(10000*1000000000)</f>
        <v>450.89310091429701</v>
      </c>
      <c r="HF72" s="218">
        <f>GU72*intermediates!$B$78/(10000*1000000000)</f>
        <v>4027.1016601617903</v>
      </c>
      <c r="HG72" s="218">
        <f>HB72*intermediates!$B$81/(10000*1000000000)</f>
        <v>0</v>
      </c>
      <c r="HH72" s="218">
        <f t="shared" si="111"/>
        <v>0</v>
      </c>
      <c r="HI72" s="218">
        <f t="shared" si="112"/>
        <v>0</v>
      </c>
      <c r="HJ72" s="218">
        <f t="shared" si="113"/>
        <v>-2.0402120130527237</v>
      </c>
      <c r="HK72" s="225">
        <f ca="1">SUM(HJ72:INDIRECT(ADDRESS(MAX(CELL("row",HJ72)-intermediates!$B$83,69),CELL("col",HJ72))))/intermediates!$B$83+SUM(HH72:INDIRECT(ADDRESS(MAX(CELL("row",HH72)-intermediates!$B$84,69),CELL("col",HH72))))/intermediates!$B$84+SUM(HI72:INDIRECT(ADDRESS(MAX(CELL("row",HI72)-intermediates!$B$85,69),CELL("col",HI72))))/intermediates!$B$85</f>
        <v>6.1957292564102318E-2</v>
      </c>
      <c r="HL72" s="225">
        <v>0</v>
      </c>
      <c r="HM72" s="188">
        <f t="shared" si="114"/>
        <v>2016</v>
      </c>
      <c r="HQ72" s="185">
        <f t="shared" si="115"/>
        <v>1398.1313823812188</v>
      </c>
      <c r="HR72" s="185">
        <f t="shared" si="116"/>
        <v>157.46412575221561</v>
      </c>
      <c r="HS72" s="185">
        <f t="shared" si="117"/>
        <v>179.15126033468403</v>
      </c>
      <c r="HT72" s="185">
        <f t="shared" si="118"/>
        <v>0</v>
      </c>
      <c r="HU72" s="185">
        <f t="shared" si="119"/>
        <v>11.945550285437298</v>
      </c>
      <c r="HV72" s="185">
        <f t="shared" si="120"/>
        <v>0</v>
      </c>
      <c r="HW72" s="185">
        <f t="shared" si="121"/>
        <v>0</v>
      </c>
      <c r="HX72" s="185">
        <f t="shared" si="122"/>
        <v>244.53252843261953</v>
      </c>
      <c r="HY72" s="185">
        <f t="shared" si="123"/>
        <v>4313.6805405273981</v>
      </c>
      <c r="HZ72" s="185">
        <f t="shared" si="140"/>
        <v>1746.6923187535556</v>
      </c>
      <c r="IA72" s="185">
        <f t="shared" si="141"/>
        <v>6304.905387713573</v>
      </c>
      <c r="IB72" s="185">
        <f t="shared" si="124"/>
        <v>2084.3003059963944</v>
      </c>
      <c r="IC72" s="185">
        <f t="shared" si="71"/>
        <v>6423.865249991909</v>
      </c>
      <c r="ID72" s="185">
        <f t="shared" si="125"/>
        <v>5357.8803188977872</v>
      </c>
      <c r="IE72" s="184">
        <f t="shared" si="142"/>
        <v>-0.87295211032271292</v>
      </c>
      <c r="IF72" s="184">
        <f t="shared" si="143"/>
        <v>-2.2202784533792683E-2</v>
      </c>
    </row>
    <row r="73" spans="1:240" x14ac:dyDescent="0.3">
      <c r="A73" s="184">
        <v>2017</v>
      </c>
      <c r="B73" s="207">
        <v>7547858.9000000004</v>
      </c>
      <c r="C73" s="207">
        <v>1343433.503</v>
      </c>
      <c r="D73" s="207">
        <f t="shared" si="98"/>
        <v>6204425.3969999999</v>
      </c>
      <c r="H73" s="207">
        <f t="shared" si="126"/>
        <v>7547858900</v>
      </c>
      <c r="L73" s="187">
        <f t="shared" si="127"/>
        <v>7547858900</v>
      </c>
      <c r="M73" s="184">
        <v>13474.602170557604</v>
      </c>
      <c r="N73" s="184">
        <v>5586.8665316760362</v>
      </c>
      <c r="O73" s="184">
        <v>7887.7356388815706</v>
      </c>
      <c r="P73" s="184">
        <v>4607.0043107713418</v>
      </c>
      <c r="Q73" s="184">
        <v>3141.8923499630273</v>
      </c>
      <c r="R73" s="184">
        <v>3718.440181091818</v>
      </c>
      <c r="S73" s="184">
        <v>597.13585448864706</v>
      </c>
      <c r="T73" s="184">
        <v>919.90838745006522</v>
      </c>
      <c r="U73" s="184">
        <v>102.61973513504789</v>
      </c>
      <c r="V73" s="184">
        <v>255.23591133624603</v>
      </c>
      <c r="W73" s="184">
        <v>132.36544032141614</v>
      </c>
      <c r="X73" s="184">
        <v>86918.740215528203</v>
      </c>
      <c r="Y73" s="184">
        <f t="shared" si="66"/>
        <v>86.918740215528203</v>
      </c>
      <c r="Z73" s="184">
        <v>9.7736074264315462</v>
      </c>
      <c r="AA73" s="184">
        <v>1.4690239295435181</v>
      </c>
      <c r="AB73" s="184">
        <f>Z73*conversions!$C$6/conversions!$C$8</f>
        <v>35.812772181242757</v>
      </c>
      <c r="AC73" s="184">
        <f>AA73*conversions!$C$6/conversions!$C$8</f>
        <v>5.3828455576452852</v>
      </c>
      <c r="AD73" s="184">
        <f t="shared" si="7"/>
        <v>41.195617738888039</v>
      </c>
      <c r="AE73" s="212">
        <f t="shared" si="43"/>
        <v>12064.472696314835</v>
      </c>
      <c r="AF73" s="212">
        <f t="shared" si="44"/>
        <v>3.4146223192557339</v>
      </c>
      <c r="AG73" s="184">
        <f>M73*conversions!$C$1*1000000/data!L73</f>
        <v>20827.587541393856</v>
      </c>
      <c r="AH73" s="184">
        <f>N73*conversions!$C$1*1000/C73</f>
        <v>48517.555495428503</v>
      </c>
      <c r="AI73" s="184">
        <f>O73*conversions!$C$1*1000/D73</f>
        <v>14831.926659657169</v>
      </c>
      <c r="AK73" s="192">
        <f t="shared" si="84"/>
        <v>20827.587541393856</v>
      </c>
      <c r="AL73" s="192">
        <f t="shared" si="85"/>
        <v>157203691989838.72</v>
      </c>
      <c r="AM73" s="192">
        <f>data!AL73/(1000000*conversions!$C$1)</f>
        <v>13474.602170557606</v>
      </c>
      <c r="AN73" s="192">
        <f t="shared" si="47"/>
        <v>13474.602170557606</v>
      </c>
      <c r="AO73" s="212">
        <f t="shared" si="72"/>
        <v>1.2305039529083428</v>
      </c>
      <c r="AQ73" s="212">
        <f t="shared" si="73"/>
        <v>4.974933578166094E-3</v>
      </c>
      <c r="AR73" s="212">
        <f t="shared" si="96"/>
        <v>10.793174250601396</v>
      </c>
      <c r="AS73" s="212">
        <f t="shared" si="74"/>
        <v>3.7122016900595014</v>
      </c>
      <c r="AT73" s="212">
        <f t="shared" si="86"/>
        <v>9.8233282620126955E-3</v>
      </c>
      <c r="AU73" s="212">
        <f t="shared" si="67"/>
        <v>6.4505607746585761E-3</v>
      </c>
      <c r="BE73" s="214">
        <f>MAX(0,MIN(1,(data!A73-intermediates!$B$29)/(intermediates!$B$31-intermediates!$B$29)))*((intermediates!$B$38*L73)-$BE$69*1000000000)/1000000000+$BE$69</f>
        <v>222.09891098992358</v>
      </c>
      <c r="BF73" s="214">
        <f t="shared" si="99"/>
        <v>222.09891098992358</v>
      </c>
      <c r="BR73" s="212" t="str">
        <f t="shared" si="87"/>
        <v/>
      </c>
      <c r="CD73" s="173">
        <f t="shared" si="100"/>
        <v>2017</v>
      </c>
      <c r="CE73" s="173">
        <f t="shared" si="88"/>
        <v>4607.0043107713418</v>
      </c>
      <c r="CF73" s="173">
        <f t="shared" si="89"/>
        <v>3141.8923499630273</v>
      </c>
      <c r="CG73" s="173">
        <f t="shared" si="90"/>
        <v>3718.440181091818</v>
      </c>
      <c r="CH73" s="173">
        <f t="shared" si="91"/>
        <v>597.13585448864706</v>
      </c>
      <c r="CI73" s="173"/>
      <c r="CJ73" s="173">
        <f t="shared" si="92"/>
        <v>919.90838745006522</v>
      </c>
      <c r="CK73" s="173">
        <f t="shared" si="93"/>
        <v>219.28418053694435</v>
      </c>
      <c r="CL73" s="173">
        <v>0</v>
      </c>
      <c r="CM73" s="173">
        <f t="shared" si="65"/>
        <v>102.61973513504789</v>
      </c>
      <c r="CN73" s="173">
        <f t="shared" si="62"/>
        <v>255.23591133624603</v>
      </c>
      <c r="CO73" s="173"/>
      <c r="CP73" s="174"/>
      <c r="CQ73" s="174"/>
      <c r="CR73" s="174"/>
      <c r="CS73" s="214"/>
      <c r="CT73" s="190">
        <f t="shared" si="94"/>
        <v>5.4579210190174647</v>
      </c>
      <c r="CU73" s="190">
        <f t="shared" si="95"/>
        <v>41.195617738888039</v>
      </c>
      <c r="CV73" s="198">
        <f t="shared" si="59"/>
        <v>2230</v>
      </c>
      <c r="CW73" s="198">
        <f t="shared" si="60"/>
        <v>2230</v>
      </c>
      <c r="CX73" s="198">
        <v>2230</v>
      </c>
      <c r="CY73" s="198">
        <f t="shared" si="61"/>
        <v>0</v>
      </c>
      <c r="CZ73" s="199">
        <f>IF(CX73&lt;intermediates!$B$55,intermediates!$B$56+(CX73-intermediates!$B$55)*intermediates!$B$53,intermediates!$B$56+(data!CX73-intermediates!$B$55)*intermediates!$B$58)</f>
        <v>1.1817650819638303</v>
      </c>
      <c r="DA73" s="220">
        <v>1561336.753</v>
      </c>
      <c r="DB73" s="220">
        <v>3266422.8335000002</v>
      </c>
      <c r="DC73" s="220">
        <v>3999133.622</v>
      </c>
      <c r="DD73" s="209">
        <f>(DA73-DA72)/$DA$73</f>
        <v>3.5933522279675248E-3</v>
      </c>
      <c r="DE73" s="209">
        <f>(DB73-DB72)/$DB$73</f>
        <v>8.376760234277969E-3</v>
      </c>
      <c r="DF73" s="209">
        <f>(DC73-DC72)/$DC$73</f>
        <v>0</v>
      </c>
      <c r="DG73" s="201">
        <f t="shared" si="77"/>
        <v>15613367530000</v>
      </c>
      <c r="DH73" s="201">
        <f t="shared" si="77"/>
        <v>32664228335000</v>
      </c>
      <c r="DI73" s="201">
        <f t="shared" si="77"/>
        <v>39991336220000</v>
      </c>
      <c r="DJ73" s="221"/>
      <c r="EE73" s="218"/>
      <c r="EF73" s="212">
        <f>$EF$69+intermediates!$B$90*(A73-2013)*intermediates!$B$92+intermediates!$B$91*intermediates!$B$92*(A73-2013)^2</f>
        <v>2820.0286485492188</v>
      </c>
      <c r="EH73" s="212">
        <f>IF(A73&lt;intermediates!$B$29,data!EH72,IF(A73&lt;intermediates!$B$31,data!$EH$69+(intermediates!$B$93-data!$EH$69)*(data!A73-intermediates!$B$29)/(intermediates!$B$31-intermediates!$B$29),intermediates!$B$93))</f>
        <v>0.17488936755242579</v>
      </c>
      <c r="EI73" s="212">
        <f t="shared" si="128"/>
        <v>0.17488936755242579</v>
      </c>
      <c r="EN73" s="218"/>
      <c r="EO73" s="212">
        <f t="shared" si="129"/>
        <v>2326.8356217247238</v>
      </c>
      <c r="EQ73" s="212">
        <f t="shared" si="130"/>
        <v>493.19302682449506</v>
      </c>
      <c r="ET73" s="214">
        <f>IF(A73&lt;intermediates!$B$29,ET72+intermediates!$B$63,ET72+intermediates!$B$63*intermediates!$B$67)</f>
        <v>825.65392030000191</v>
      </c>
      <c r="EU73" s="215">
        <f t="shared" si="131"/>
        <v>825.65392030000191</v>
      </c>
      <c r="EV73" s="216">
        <f>data!EU73*conversions!$C$13</f>
        <v>0.96023550930890222</v>
      </c>
      <c r="EX73" s="212">
        <f>intermediates!$B$64+intermediates!$B$64*(EXP(-(data!A73-intermediates!$B$66)/intermediates!$B$65)-1)</f>
        <v>2.0376680312447999E-2</v>
      </c>
      <c r="EY73" s="217">
        <f>IF(A73&lt;intermediates!$B$29,data!EX73,data!EY72+(data!EX73-data!EX72)*intermediates!$B$68)</f>
        <v>2.0376680312447999E-2</v>
      </c>
      <c r="EZ73" s="217">
        <f t="shared" si="132"/>
        <v>2.0376680312447999E-2</v>
      </c>
      <c r="FB73" s="212">
        <f>intermediates!$B$94+intermediates!$B$95+(intermediates!$B$95*(EXP(-(data!A73-intermediates!$B$97)/intermediates!$B$96)-1))</f>
        <v>1.8152951850463346</v>
      </c>
      <c r="FC73" s="217">
        <f>IF(A73&lt;intermediates!$B$29,data!FB73,data!FC72+(data!FB73-data!FB72)*intermediates!$B$68)</f>
        <v>1.8152951850463346</v>
      </c>
      <c r="FD73" s="212">
        <f t="shared" si="133"/>
        <v>1.8152951850463346</v>
      </c>
      <c r="FF73" s="184">
        <f>intermediates!$B$98+intermediates!$B$99*EXP(-(A73-intermediates!$B$101)/intermediates!$B$100)</f>
        <v>0.86509584853302346</v>
      </c>
      <c r="FG73" s="184">
        <f t="shared" si="101"/>
        <v>0.86509584853302346</v>
      </c>
      <c r="FI73" s="184">
        <f>intermediates!$B$102+intermediates!$B$103*EXP(-(A73-intermediates!$B$105)/intermediates!$B$104)</f>
        <v>2.4622333866416275E-2</v>
      </c>
      <c r="FJ73" s="184">
        <f t="shared" si="134"/>
        <v>2.4622333866416275E-2</v>
      </c>
      <c r="FL73" s="184">
        <f>intermediates!$B$106</f>
        <v>4.5616870531049965E-2</v>
      </c>
      <c r="FM73" s="184">
        <f t="shared" si="135"/>
        <v>4.5616870531049965E-2</v>
      </c>
      <c r="FN73" s="218">
        <f>IF(A73&lt;intermediates!$B$29,0,IF(A73&lt;intermediates!$B$31,(data!A73-intermediates!$B$29)/(intermediates!$B$31-intermediates!$B$29),1))</f>
        <v>0</v>
      </c>
      <c r="FO73" s="218">
        <f t="shared" si="81"/>
        <v>1358731252581349.3</v>
      </c>
      <c r="FP73" s="218">
        <f t="shared" si="21"/>
        <v>1570613539396128.8</v>
      </c>
      <c r="FQ73" s="218">
        <f>FP73*EZ73</f>
        <v>32003889986677.367</v>
      </c>
      <c r="FR73" s="218">
        <f t="shared" si="23"/>
        <v>2851127195634374</v>
      </c>
      <c r="FS73" s="218">
        <f t="shared" si="24"/>
        <v>3453174660151.0898</v>
      </c>
      <c r="FT73" s="218">
        <f>intermediates!$B$69*data!EU73/intermediates!$B$71</f>
        <v>2.1015648188517</v>
      </c>
      <c r="FU73" s="218">
        <f>(Y73+W73)*conversions!$C$1*1000000</f>
        <v>2558315439597.6841</v>
      </c>
      <c r="FV73" s="218">
        <f t="shared" si="41"/>
        <v>1217338345526.5271</v>
      </c>
      <c r="FX73" s="221"/>
      <c r="FY73" s="221"/>
      <c r="FZ73" s="221"/>
      <c r="GA73" s="218">
        <f t="shared" si="102"/>
        <v>222.09891098992358</v>
      </c>
      <c r="GB73" s="218">
        <f>GA73*1000000*10000*intermediates!$B$71/(intermediates!$B$72*data!EU73)</f>
        <v>1321032957189.9604</v>
      </c>
      <c r="GC73" s="218">
        <f t="shared" si="83"/>
        <v>7763977959082.5029</v>
      </c>
      <c r="GD73" s="218">
        <f t="shared" si="144"/>
        <v>13755523921950.08</v>
      </c>
      <c r="GE73" s="218">
        <f t="shared" si="30"/>
        <v>14794691265763.447</v>
      </c>
      <c r="GF73" s="218">
        <f t="shared" si="31"/>
        <v>364279827796.18042</v>
      </c>
      <c r="GG73" s="218">
        <f t="shared" si="136"/>
        <v>674887516017.18689</v>
      </c>
      <c r="GH73" s="218">
        <f t="shared" si="103"/>
        <v>9409620545128.3027</v>
      </c>
      <c r="GI73" s="218">
        <f t="shared" ref="GI73:GI134" si="145">GC73+FS73-GH73</f>
        <v>1807532074105.291</v>
      </c>
      <c r="GJ73" s="218">
        <f>ET73*intermediates!$B$73/intermediates!$B$71</f>
        <v>3.1523472282775495</v>
      </c>
      <c r="GK73" s="218">
        <f>CL73*conversions!$C$1*1000000/data!GJ73</f>
        <v>0</v>
      </c>
      <c r="GL73" s="218">
        <f>MIN(1,FN73)*(intermediates!$B$75-data!$GL$69)+data!$GL$69</f>
        <v>4.023535335695938E-2</v>
      </c>
      <c r="GM73" s="218">
        <f>GL73*intermediates!$B$74*(FS73+GC73+GK73+GG73+GF73+GB73+FV73)</f>
        <v>89290444632.766953</v>
      </c>
      <c r="GN73" s="218">
        <f>MIN(1,FN73)*intermediates!$B$76</f>
        <v>0</v>
      </c>
      <c r="GO73" s="218">
        <f t="shared" si="137"/>
        <v>0</v>
      </c>
      <c r="GP73" s="218"/>
      <c r="GQ73" s="218">
        <f>IF(AND(A73&gt;intermediates!$B$29+intermediates!$B$30,data!GP73&lt;intermediates!$B$77),1,0)</f>
        <v>0</v>
      </c>
      <c r="GR73" s="218">
        <f t="shared" si="104"/>
        <v>0</v>
      </c>
      <c r="GS73" s="218">
        <f t="shared" si="105"/>
        <v>46887871697073.57</v>
      </c>
      <c r="GT73" s="218">
        <f t="shared" si="97"/>
        <v>88268932085000</v>
      </c>
      <c r="GU73" s="218">
        <f t="shared" si="106"/>
        <v>39991336220000</v>
      </c>
      <c r="GV73" s="218">
        <f t="shared" si="107"/>
        <v>14883981710396.217</v>
      </c>
      <c r="GW73" s="218">
        <f t="shared" si="108"/>
        <v>1389724167926.4297</v>
      </c>
      <c r="GX73" s="218">
        <f>MIN(intermediates!$B$88,FN73*intermediates!$B$87*GO73)</f>
        <v>0</v>
      </c>
      <c r="GY73" s="218">
        <f t="shared" si="109"/>
        <v>0</v>
      </c>
      <c r="GZ73" s="218">
        <f>MIN(intermediates!$B$88-GX73,intermediates!$B$87*data!GW73*FN73)</f>
        <v>0</v>
      </c>
      <c r="HA73" s="218">
        <f t="shared" si="138"/>
        <v>1389724167926.4297</v>
      </c>
      <c r="HB73" s="218">
        <f t="shared" si="139"/>
        <v>0</v>
      </c>
      <c r="HC73" s="218">
        <f t="shared" si="110"/>
        <v>33393614154603.797</v>
      </c>
      <c r="HD73" s="218">
        <f>HC73*intermediates!$B$79/(10000*1000000000)</f>
        <v>2216.474572541581</v>
      </c>
      <c r="HE73" s="218">
        <f>(GV73*intermediates!$B$80+GV73*GL73*intermediates!$B$82)/(10000*1000000000)</f>
        <v>451.54340963769857</v>
      </c>
      <c r="HF73" s="218">
        <f>GU73*intermediates!$B$78/(10000*1000000000)</f>
        <v>4027.1016601617903</v>
      </c>
      <c r="HG73" s="218">
        <f>HB73*intermediates!$B$81/(10000*1000000000)</f>
        <v>0</v>
      </c>
      <c r="HH73" s="218">
        <f t="shared" si="111"/>
        <v>0</v>
      </c>
      <c r="HI73" s="218">
        <f t="shared" si="112"/>
        <v>0</v>
      </c>
      <c r="HJ73" s="218">
        <f t="shared" si="113"/>
        <v>21.112743345578735</v>
      </c>
      <c r="HK73" s="225">
        <f ca="1">SUM(HJ73:INDIRECT(ADDRESS(MAX(CELL("row",HJ73)-intermediates!$B$83,69),CELL("col",HJ73))))/intermediates!$B$83+SUM(HH73:INDIRECT(ADDRESS(MAX(CELL("row",HH73)-intermediates!$B$84,69),CELL("col",HH73))))/intermediates!$B$84+SUM(HI73:INDIRECT(ADDRESS(MAX(CELL("row",HI73)-intermediates!$B$85,69),CELL("col",HI73))))/intermediates!$B$85</f>
        <v>0.90646702638725174</v>
      </c>
      <c r="HL73" s="225">
        <v>0</v>
      </c>
      <c r="HM73" s="188">
        <f t="shared" si="114"/>
        <v>2017</v>
      </c>
      <c r="HQ73" s="185">
        <f t="shared" si="115"/>
        <v>1384.3379993419949</v>
      </c>
      <c r="HR73" s="185">
        <f t="shared" si="116"/>
        <v>161.28260499497773</v>
      </c>
      <c r="HS73" s="185">
        <f t="shared" si="117"/>
        <v>175.02088667687738</v>
      </c>
      <c r="HT73" s="185">
        <f t="shared" si="118"/>
        <v>0</v>
      </c>
      <c r="HU73" s="185">
        <f t="shared" si="119"/>
        <v>11.829903793348198</v>
      </c>
      <c r="HV73" s="185">
        <f t="shared" si="120"/>
        <v>0</v>
      </c>
      <c r="HW73" s="185">
        <f t="shared" si="121"/>
        <v>0</v>
      </c>
      <c r="HX73" s="185">
        <f t="shared" si="122"/>
        <v>239.47613463008577</v>
      </c>
      <c r="HY73" s="185">
        <f t="shared" si="123"/>
        <v>4240.128281502105</v>
      </c>
      <c r="HZ73" s="185">
        <f t="shared" si="140"/>
        <v>1732.4713948071981</v>
      </c>
      <c r="IA73" s="185">
        <f t="shared" si="141"/>
        <v>6212.0758109393882</v>
      </c>
      <c r="IB73" s="185">
        <f t="shared" si="124"/>
        <v>2091.8169410620599</v>
      </c>
      <c r="IC73" s="185">
        <f t="shared" si="71"/>
        <v>6396.1974521012844</v>
      </c>
      <c r="ID73" s="185">
        <f t="shared" si="125"/>
        <v>5298.3682856074593</v>
      </c>
      <c r="IE73" s="184">
        <f t="shared" si="142"/>
        <v>-0.88021930637828238</v>
      </c>
      <c r="IF73" s="184">
        <f t="shared" si="143"/>
        <v>-3.4750630993705366E-2</v>
      </c>
    </row>
    <row r="74" spans="1:240" x14ac:dyDescent="0.3">
      <c r="A74" s="211">
        <v>2018</v>
      </c>
      <c r="B74" s="207">
        <v>7631091.1129999999</v>
      </c>
      <c r="C74" s="207">
        <v>1351024.7449999999</v>
      </c>
      <c r="D74" s="207">
        <f t="shared" si="98"/>
        <v>6280066.3679999998</v>
      </c>
      <c r="H74" s="207">
        <f t="shared" si="126"/>
        <v>7631091113</v>
      </c>
      <c r="L74" s="187">
        <f t="shared" si="127"/>
        <v>7631091113</v>
      </c>
      <c r="M74" s="184">
        <v>13864.882686051793</v>
      </c>
      <c r="N74" s="184">
        <v>5669.0313585814729</v>
      </c>
      <c r="O74" s="184">
        <v>8195.8513274703218</v>
      </c>
      <c r="P74" s="184">
        <v>4662.0533781782833</v>
      </c>
      <c r="Q74" s="184">
        <v>3309.4213954098741</v>
      </c>
      <c r="R74" s="184">
        <v>3772.0960139666149</v>
      </c>
      <c r="S74" s="184">
        <v>611.2666874924688</v>
      </c>
      <c r="T74" s="184">
        <v>948.79489323391624</v>
      </c>
      <c r="U74" s="184">
        <v>132.28739599058966</v>
      </c>
      <c r="V74" s="184">
        <v>287.35877601136218</v>
      </c>
      <c r="W74" s="184">
        <v>141.60414576868658</v>
      </c>
      <c r="X74" s="184">
        <v>95371.134329788547</v>
      </c>
      <c r="Y74" s="184">
        <f t="shared" si="66"/>
        <v>95.371134329788546</v>
      </c>
      <c r="Z74" s="184">
        <v>9.9816468941534815</v>
      </c>
      <c r="AA74" s="184">
        <v>1.5088491322183839</v>
      </c>
      <c r="AB74" s="184">
        <f>Z74*conversions!$C$6/conversions!$C$8</f>
        <v>36.575077207131535</v>
      </c>
      <c r="AC74" s="184">
        <f>AA74*conversions!$C$6/conversions!$C$8</f>
        <v>5.5287743685989224</v>
      </c>
      <c r="AD74" s="184">
        <f t="shared" si="7"/>
        <v>42.103851575730459</v>
      </c>
      <c r="AE74" s="212">
        <f t="shared" si="43"/>
        <v>12354.837475047241</v>
      </c>
      <c r="AF74" s="212">
        <f t="shared" si="44"/>
        <v>3.4078838884579876</v>
      </c>
      <c r="AG74" s="184">
        <f>M74*conversions!$C$1*1000000/data!L74</f>
        <v>21197.095182763835</v>
      </c>
      <c r="AH74" s="184">
        <f>N74*conversions!$C$1*1000/C74</f>
        <v>48954.469137758482</v>
      </c>
      <c r="AI74" s="184">
        <f>O74*conversions!$C$1*1000/D74</f>
        <v>15225.677546080633</v>
      </c>
      <c r="AJ74" s="222">
        <f>AG74</f>
        <v>21197.095182763835</v>
      </c>
      <c r="AK74" s="192">
        <f t="shared" si="84"/>
        <v>21197.095182763835</v>
      </c>
      <c r="AL74" s="192">
        <f t="shared" si="85"/>
        <v>161756964670604.22</v>
      </c>
      <c r="AM74" s="192">
        <f>data!AL74/(1000000*conversions!$C$1)</f>
        <v>13864.882686051791</v>
      </c>
      <c r="AN74" s="192">
        <f>AM74</f>
        <v>13864.882686051791</v>
      </c>
      <c r="AO74" s="212">
        <f t="shared" si="72"/>
        <v>1.1726688572332324</v>
      </c>
      <c r="AQ74" s="212">
        <f t="shared" si="73"/>
        <v>4.4566208694156355E-3</v>
      </c>
      <c r="AR74" s="212">
        <f t="shared" si="96"/>
        <v>28.886505783851021</v>
      </c>
      <c r="AS74" s="212">
        <f t="shared" si="74"/>
        <v>8.4523941142603434</v>
      </c>
      <c r="AT74" s="212">
        <f t="shared" si="86"/>
        <v>1.0213151382170852E-2</v>
      </c>
      <c r="AU74" s="212">
        <f t="shared" si="67"/>
        <v>6.8786109835413788E-3</v>
      </c>
      <c r="AW74" s="222">
        <f>T74</f>
        <v>948.79489323391624</v>
      </c>
      <c r="BA74" s="222">
        <f>AU74+AT74</f>
        <v>1.7091762365712231E-2</v>
      </c>
      <c r="BE74" s="214">
        <f>MAX(0,MIN(1,(data!A74-intermediates!$B$29)/(intermediates!$B$31-intermediates!$B$29)))*((intermediates!$B$38*L74)-$BE$69*1000000000)/1000000000+$BE$69</f>
        <v>222.09891098992358</v>
      </c>
      <c r="BF74" s="214">
        <f t="shared" si="99"/>
        <v>222.09891098992358</v>
      </c>
      <c r="BI74" s="214"/>
      <c r="BJ74" s="214"/>
      <c r="BO74" s="222">
        <f>U74+V74</f>
        <v>419.64617200195187</v>
      </c>
      <c r="BR74" s="212" t="str">
        <f t="shared" si="87"/>
        <v/>
      </c>
      <c r="BT74" s="222">
        <v>0</v>
      </c>
      <c r="BX74" s="212">
        <f>BO74</f>
        <v>419.64617200195187</v>
      </c>
      <c r="CD74" s="173">
        <f t="shared" si="100"/>
        <v>2018</v>
      </c>
      <c r="CE74" s="173">
        <f t="shared" si="88"/>
        <v>4662.0533781782833</v>
      </c>
      <c r="CF74" s="173">
        <f t="shared" si="89"/>
        <v>3309.4213954098741</v>
      </c>
      <c r="CG74" s="173">
        <f t="shared" si="90"/>
        <v>3772.0960139666149</v>
      </c>
      <c r="CH74" s="173">
        <f t="shared" si="91"/>
        <v>611.2666874924688</v>
      </c>
      <c r="CI74" s="173"/>
      <c r="CJ74" s="173">
        <f t="shared" si="92"/>
        <v>948.79489323391624</v>
      </c>
      <c r="CK74" s="173">
        <f t="shared" si="93"/>
        <v>236.97528009847514</v>
      </c>
      <c r="CL74" s="173">
        <v>0</v>
      </c>
      <c r="CM74" s="173">
        <f t="shared" si="65"/>
        <v>132.28739599058966</v>
      </c>
      <c r="CN74" s="173">
        <f t="shared" si="62"/>
        <v>287.35877601136218</v>
      </c>
      <c r="CO74" s="173"/>
      <c r="CP74" s="174"/>
      <c r="CQ74" s="174"/>
      <c r="CR74" s="167">
        <v>0</v>
      </c>
      <c r="CS74" s="214"/>
      <c r="CT74" s="190">
        <f t="shared" si="94"/>
        <v>5.5174091033986139</v>
      </c>
      <c r="CU74" s="190">
        <f t="shared" si="95"/>
        <v>42.103851575730459</v>
      </c>
      <c r="CV74" s="223">
        <f>CX74</f>
        <v>2272.10385157573</v>
      </c>
      <c r="CW74" s="198">
        <f t="shared" si="60"/>
        <v>2272.10385157573</v>
      </c>
      <c r="CX74" s="198">
        <v>2272.10385157573</v>
      </c>
      <c r="CY74" s="198">
        <f t="shared" si="61"/>
        <v>0</v>
      </c>
      <c r="CZ74" s="199">
        <f>IF(CX74&lt;intermediates!$B$55,intermediates!$B$56+(CX74-intermediates!$B$55)*intermediates!$B$53,intermediates!$B$56+(data!CX74-intermediates!$B$55)*intermediates!$B$58)</f>
        <v>1.2046611437229922</v>
      </c>
      <c r="DG74" s="201">
        <f>IF(A74&gt;MAX(intermediates!B$31,intermediates!$B$32),DG73,DG73+intermediates!$B$60*DG$73)</f>
        <v>15686798471250</v>
      </c>
      <c r="DH74" s="201">
        <f>IF(A74&gt;MAX(intermediates!B$31,intermediates!$B$32),DH73,DH73+intermediates!$B$61*DH$73)</f>
        <v>32586301051875</v>
      </c>
      <c r="DI74" s="201">
        <f>IF(A74&gt;MAX(intermediates!B$31,intermediates!$B$32),DI73,DI73+intermediates!$B$62*DI$73)</f>
        <v>39966394613000</v>
      </c>
      <c r="DJ74" s="221"/>
      <c r="DM74" s="221"/>
      <c r="EE74" s="218"/>
      <c r="EF74" s="212">
        <f>$EF$69+intermediates!$B$90*(A74-2013)*intermediates!$B$92+intermediates!$B$91*intermediates!$B$92*(A74-2013)^2</f>
        <v>2827.6335385492189</v>
      </c>
      <c r="EH74" s="212">
        <f>IF(A74&lt;intermediates!$B$29,data!EH73,IF(A74&lt;intermediates!$B$31,data!$EH$69+(intermediates!$B$93-data!$EH$69)*(data!A74-intermediates!$B$29)/(intermediates!$B$31-intermediates!$B$29),intermediates!$B$93))</f>
        <v>0.17488936755242579</v>
      </c>
      <c r="EI74" s="212">
        <f t="shared" si="128"/>
        <v>0.17488936755242579</v>
      </c>
      <c r="EN74" s="218"/>
      <c r="EO74" s="212">
        <f t="shared" si="129"/>
        <v>2333.1104973223182</v>
      </c>
      <c r="EQ74" s="212">
        <f t="shared" si="130"/>
        <v>494.52304122690066</v>
      </c>
      <c r="ET74" s="214">
        <f>IF(A74&lt;intermediates!$B$29,ET73+intermediates!$B$63,ET73+intermediates!$B$63*intermediates!$B$67)</f>
        <v>835.6295096914447</v>
      </c>
      <c r="EU74" s="215">
        <f t="shared" si="131"/>
        <v>835.6295096914447</v>
      </c>
      <c r="EV74" s="216">
        <f>data!EU74*conversions!$C$13</f>
        <v>0.97183711977115017</v>
      </c>
      <c r="EX74" s="212">
        <f>intermediates!$B$64+intermediates!$B$64*(EXP(-(data!A74-intermediates!$B$66)/intermediates!$B$65)-1)</f>
        <v>1.999786791220581E-2</v>
      </c>
      <c r="EY74" s="217">
        <f>IF(A74&lt;intermediates!$B$29,data!EX74,data!EY73+(data!EX74-data!EX73)*intermediates!$B$68)</f>
        <v>1.999786791220581E-2</v>
      </c>
      <c r="EZ74" s="217">
        <f t="shared" si="132"/>
        <v>1.999786791220581E-2</v>
      </c>
      <c r="FB74" s="212">
        <f>intermediates!$B$94+intermediates!$B$95+(intermediates!$B$95*(EXP(-(data!A74-intermediates!$B$97)/intermediates!$B$96)-1))</f>
        <v>1.8066969407868456</v>
      </c>
      <c r="FC74" s="217">
        <f>IF(A74&lt;intermediates!$B$29,data!FB74,data!FC73+(data!FB74-data!FB73)*intermediates!$B$68)</f>
        <v>1.8066969407868456</v>
      </c>
      <c r="FD74" s="212">
        <f t="shared" si="133"/>
        <v>1.8066969407868456</v>
      </c>
      <c r="FF74" s="184">
        <f>intermediates!$B$98+intermediates!$B$99*EXP(-(A74-intermediates!$B$101)/intermediates!$B$100)</f>
        <v>0.86607838506416046</v>
      </c>
      <c r="FG74" s="184">
        <f t="shared" si="101"/>
        <v>0.86607838506416046</v>
      </c>
      <c r="FI74" s="184">
        <f>intermediates!$B$102+intermediates!$B$103*EXP(-(A74-intermediates!$B$105)/intermediates!$B$104)</f>
        <v>2.4307202452333955E-2</v>
      </c>
      <c r="FJ74" s="184">
        <f t="shared" si="134"/>
        <v>2.4307202452333955E-2</v>
      </c>
      <c r="FL74" s="184">
        <f>intermediates!$B$106</f>
        <v>4.5616870531049965E-2</v>
      </c>
      <c r="FM74" s="184">
        <f t="shared" si="135"/>
        <v>4.5616870531049965E-2</v>
      </c>
      <c r="FN74" s="218">
        <f>IF(A74&lt;intermediates!$B$29,0,IF(A74&lt;intermediates!$B$31,(data!A74-intermediates!$B$29)/(intermediates!$B$31-intermediates!$B$29),1))</f>
        <v>0</v>
      </c>
      <c r="FO74" s="218">
        <f t="shared" si="81"/>
        <v>1377418890554322</v>
      </c>
      <c r="FP74" s="218">
        <f t="shared" si="21"/>
        <v>1590409037228519</v>
      </c>
      <c r="FQ74" s="218">
        <f t="shared" si="22"/>
        <v>31804789852874.336</v>
      </c>
      <c r="FR74" s="218">
        <f t="shared" si="23"/>
        <v>2873387142160517.5</v>
      </c>
      <c r="FS74" s="218">
        <f t="shared" si="24"/>
        <v>3438589840157.168</v>
      </c>
      <c r="FT74" s="218">
        <f>intermediates!$B$69*data!EU74/intermediates!$B$71</f>
        <v>2.1269560235646248</v>
      </c>
      <c r="FU74" s="218">
        <f>(Y74+W74)*conversions!$C$1*1000000</f>
        <v>2764711601148.8765</v>
      </c>
      <c r="FV74" s="218">
        <f t="shared" si="41"/>
        <v>1299844270647.1287</v>
      </c>
      <c r="FX74" s="221"/>
      <c r="FY74" s="221"/>
      <c r="FZ74" s="221"/>
      <c r="GA74" s="218">
        <f t="shared" si="102"/>
        <v>222.09891098992358</v>
      </c>
      <c r="GB74" s="218">
        <f>GA74*1000000*10000*intermediates!$B$71/(intermediates!$B$72*data!EU74)</f>
        <v>1305262711883.094</v>
      </c>
      <c r="GC74" s="218">
        <f t="shared" si="83"/>
        <v>7776802015696.1621</v>
      </c>
      <c r="GD74" s="218">
        <f t="shared" si="144"/>
        <v>13820498838383.553</v>
      </c>
      <c r="GE74" s="218">
        <f t="shared" si="30"/>
        <v>14859538277391.244</v>
      </c>
      <c r="GF74" s="218">
        <f t="shared" si="31"/>
        <v>361193805256.7547</v>
      </c>
      <c r="GG74" s="218">
        <f t="shared" si="136"/>
        <v>677845633750.93762</v>
      </c>
      <c r="GH74" s="218">
        <f t="shared" si="103"/>
        <v>9425162771963.5352</v>
      </c>
      <c r="GI74" s="218">
        <f t="shared" si="145"/>
        <v>1790229083889.7949</v>
      </c>
      <c r="GJ74" s="218">
        <f>ET74*intermediates!$B$73/intermediates!$B$71</f>
        <v>3.1904340353469376</v>
      </c>
      <c r="GK74" s="218">
        <f>CL74*conversions!$C$1*1000000/data!GJ74</f>
        <v>0</v>
      </c>
      <c r="GL74" s="218">
        <f>MIN(1,FN74)*(intermediates!$B$75-data!$GL$69)+data!$GL$69</f>
        <v>4.023535335695938E-2</v>
      </c>
      <c r="GM74" s="218">
        <f>GL74*intermediates!$B$74*(FS74+GC74+GK74+GG74+GF74+GB74+FV74)</f>
        <v>89681815996.815033</v>
      </c>
      <c r="GN74" s="218">
        <f>MIN(1,FN74)*intermediates!$B$76</f>
        <v>0</v>
      </c>
      <c r="GO74" s="218">
        <f t="shared" si="137"/>
        <v>0</v>
      </c>
      <c r="GP74" s="218"/>
      <c r="GQ74" s="218">
        <f>IF(AND(A74&gt;intermediates!$B$29+intermediates!$B$30,data!GP74&lt;intermediates!$B$77),1,0)</f>
        <v>0</v>
      </c>
      <c r="GR74" s="218">
        <f t="shared" si="104"/>
        <v>0</v>
      </c>
      <c r="GS74" s="218">
        <f t="shared" si="105"/>
        <v>46754009946262.391</v>
      </c>
      <c r="GT74" s="218">
        <f t="shared" si="97"/>
        <v>88239494136125</v>
      </c>
      <c r="GU74" s="218">
        <f t="shared" si="106"/>
        <v>39966394613000</v>
      </c>
      <c r="GV74" s="218">
        <f t="shared" si="107"/>
        <v>14949220093388.059</v>
      </c>
      <c r="GW74" s="218">
        <f t="shared" si="108"/>
        <v>1519089576862.6094</v>
      </c>
      <c r="GX74" s="218">
        <f>MIN(intermediates!$B$88,FN74*intermediates!$B$87*GO74)</f>
        <v>0</v>
      </c>
      <c r="GY74" s="218">
        <f t="shared" si="109"/>
        <v>0</v>
      </c>
      <c r="GZ74" s="218">
        <f>MIN(intermediates!$B$88-GX74,intermediates!$B$87*data!GW74*FN74)</f>
        <v>0</v>
      </c>
      <c r="HA74" s="218">
        <f t="shared" si="138"/>
        <v>1519089576862.6094</v>
      </c>
      <c r="HB74" s="218">
        <f t="shared" si="139"/>
        <v>0</v>
      </c>
      <c r="HC74" s="218">
        <f t="shared" si="110"/>
        <v>33323879429736.945</v>
      </c>
      <c r="HD74" s="218">
        <f>HC74*intermediates!$B$79/(10000*1000000000)</f>
        <v>2211.845985657425</v>
      </c>
      <c r="HE74" s="218">
        <f>(GV74*intermediates!$B$80+GV74*GL74*intermediates!$B$82)/(10000*1000000000)</f>
        <v>453.5225817751388</v>
      </c>
      <c r="HF74" s="218">
        <f>GU74*intermediates!$B$78/(10000*1000000000)</f>
        <v>4024.5900564883282</v>
      </c>
      <c r="HG74" s="218">
        <f>HB74*intermediates!$B$81/(10000*1000000000)</f>
        <v>0</v>
      </c>
      <c r="HH74" s="218">
        <f t="shared" si="111"/>
        <v>0</v>
      </c>
      <c r="HI74" s="218">
        <f t="shared" si="112"/>
        <v>0</v>
      </c>
      <c r="HJ74" s="218">
        <f t="shared" si="113"/>
        <v>-5.1610184201778679</v>
      </c>
      <c r="HK74" s="225">
        <f ca="1">SUM(HJ74:INDIRECT(ADDRESS(MAX(CELL("row",HJ74)-intermediates!$B$83,69),CELL("col",HJ74))))/intermediates!$B$83+SUM(HH74:INDIRECT(ADDRESS(MAX(CELL("row",HH74)-intermediates!$B$84,69),CELL("col",HH74))))/intermediates!$B$84+SUM(HI74:INDIRECT(ADDRESS(MAX(CELL("row",HI74)-intermediates!$B$85,69),CELL("col",HI74))))/intermediates!$B$85</f>
        <v>0.70002628958013702</v>
      </c>
      <c r="HL74" s="225">
        <v>0</v>
      </c>
      <c r="HM74" s="188">
        <f t="shared" si="114"/>
        <v>2018</v>
      </c>
      <c r="HQ74" s="185">
        <f t="shared" si="115"/>
        <v>1371.2589793541922</v>
      </c>
      <c r="HR74" s="185">
        <f t="shared" si="116"/>
        <v>170.33531003617159</v>
      </c>
      <c r="HS74" s="185">
        <f t="shared" si="117"/>
        <v>171.04535806937284</v>
      </c>
      <c r="HT74" s="185">
        <f t="shared" si="118"/>
        <v>0</v>
      </c>
      <c r="HU74" s="185">
        <f t="shared" si="119"/>
        <v>11.752161606881739</v>
      </c>
      <c r="HV74" s="185">
        <f t="shared" si="120"/>
        <v>0</v>
      </c>
      <c r="HW74" s="185">
        <f t="shared" si="121"/>
        <v>0</v>
      </c>
      <c r="HX74" s="185">
        <f t="shared" si="122"/>
        <v>234.59673818335588</v>
      </c>
      <c r="HY74" s="185">
        <f t="shared" si="123"/>
        <v>4167.7906058142926</v>
      </c>
      <c r="HZ74" s="185">
        <f t="shared" si="140"/>
        <v>1724.3918090666186</v>
      </c>
      <c r="IA74" s="185">
        <f t="shared" si="141"/>
        <v>6126.7791530642671</v>
      </c>
      <c r="IB74" s="185">
        <f t="shared" si="124"/>
        <v>2101.6549267886971</v>
      </c>
      <c r="IC74" s="185">
        <f t="shared" si="71"/>
        <v>6325.8449949429923</v>
      </c>
      <c r="ID74" s="185">
        <f t="shared" si="125"/>
        <v>5237.3106310989997</v>
      </c>
      <c r="IE74" s="184">
        <f t="shared" si="142"/>
        <v>-0.8785908474767713</v>
      </c>
      <c r="IF74" s="184">
        <f t="shared" si="143"/>
        <v>-3.8009172245136273E-2</v>
      </c>
    </row>
    <row r="75" spans="1:240" x14ac:dyDescent="0.3">
      <c r="A75" s="211">
        <v>2019</v>
      </c>
      <c r="B75" s="207">
        <v>7713468.2050000103</v>
      </c>
      <c r="C75" s="207">
        <v>1358056.085</v>
      </c>
      <c r="D75" s="207">
        <f t="shared" si="98"/>
        <v>6355412.1200000104</v>
      </c>
      <c r="H75" s="207">
        <f t="shared" si="126"/>
        <v>7713468205.0000105</v>
      </c>
      <c r="L75" s="187">
        <f t="shared" si="127"/>
        <v>7713468205.0000105</v>
      </c>
      <c r="AD75" s="215"/>
      <c r="AE75" s="214"/>
      <c r="AF75" s="219"/>
      <c r="AG75" s="190" t="s">
        <v>1184</v>
      </c>
      <c r="AH75" s="190">
        <f>AH74</f>
        <v>48954.469137758482</v>
      </c>
      <c r="AI75" s="198">
        <f>AI74+intermediates!$B$9*$B$76/$D$76</f>
        <v>15366.283058835003</v>
      </c>
      <c r="AJ75" s="184">
        <f>IF(intermediates!$B$46=0,$AJ$74+(intermediates!$B$15-$AJ$74)*MIN(1,(data!A75-data!$A$74)/(intermediates!$B$32-data!$A$74)),IF(A75&lt;2021,$AJ$74+(intermediates!$B$15-$AJ$74)*MIN(1,(data!A75-data!$A$74)/(intermediates!$B$32-data!$A$74)),1))</f>
        <v>21316.381813864529</v>
      </c>
      <c r="AK75" s="192">
        <f t="shared" ref="AK75:AK138" si="146">AJ75</f>
        <v>21316.381813864529</v>
      </c>
      <c r="AL75" s="192">
        <f t="shared" si="85"/>
        <v>164423233366884.5</v>
      </c>
      <c r="AM75" s="192">
        <f>data!AL75/(1000000*conversions!$C$1)</f>
        <v>14093.420002875815</v>
      </c>
      <c r="AN75" s="192">
        <f>IF(intermediates!$B$13=1,($AJ$74+(27400-$AJ$74)*MIN(1,(data!A75-data!$A$74)/(intermediates!$B$32-data!$A$74)))*L75/(1000000*conversions!$C$1),data!AM75)</f>
        <v>14093.420002875815</v>
      </c>
      <c r="AV75" s="214">
        <f>IF(A75&lt;intermediates!$B$29,0,IF(A75&lt;intermediates!$B$31,(data!A75-intermediates!$B$29)*intermediates!$B$26/(intermediates!$B$31-intermediates!$B$29),intermediates!$B$26))</f>
        <v>0</v>
      </c>
      <c r="AW75" s="212">
        <f>MIN(AW74+intermediates!$B$16,intermediates!$B$17*data!$AW$74)</f>
        <v>972.39515442112543</v>
      </c>
      <c r="AX75" s="212">
        <f>AV75*1000/conversions!$C$16/intermediates!$B$40</f>
        <v>0</v>
      </c>
      <c r="AY75" s="212">
        <f>AX75*(1-intermediates!$B$39)*intermediates!$B$28/(conversions!$C$2)</f>
        <v>0</v>
      </c>
      <c r="AZ75" s="213">
        <f>IF(A75&lt;intermediates!$B$29,0,MIN(intermediates!$B$25,intermediates!$B$25*(A75-intermediates!$B$29)/(intermediates!$B$31-intermediates!$B$29)))</f>
        <v>0</v>
      </c>
      <c r="BA75" s="212">
        <f>IF(A75&lt;intermediates!$B$29,data!$BA$74,IF(intermediates!$B$23&gt;data!$BA$74,MIN(intermediates!$B$23,data!$BA$74+(intermediates!$B$23-data!$BA$74)*((data!A75-intermediates!$B$29)/(intermediates!$B$31-intermediates!$B$29))),MAX(intermediates!$B$23,data!$BA$74+(intermediates!$B$23-data!$BA$74)*((data!A75-intermediates!$B$29)/(intermediates!$B$31-intermediates!$B$29)))))</f>
        <v>1.7091762365712231E-2</v>
      </c>
      <c r="BB75" s="212">
        <f t="shared" ref="BB75:BB106" si="147">BA75*AM75</f>
        <v>240.88138560932882</v>
      </c>
      <c r="BC75" s="212">
        <f>BB75-BD75</f>
        <v>240.88138560932882</v>
      </c>
      <c r="BD75" s="212">
        <f>BB75*AZ75</f>
        <v>0</v>
      </c>
      <c r="BE75" s="214">
        <f>MAX(0,MIN(1,(data!A75-intermediates!$B$29)/(intermediates!$B$31-intermediates!$B$29)))*((intermediates!$B$38*L75)-$BE$69*1000000000)/1000000000+$BE$69</f>
        <v>222.09891098992358</v>
      </c>
      <c r="BF75" s="214">
        <f t="shared" si="99"/>
        <v>222.09891098992358</v>
      </c>
      <c r="BG75" s="214">
        <f>BE75*AZ75</f>
        <v>0</v>
      </c>
      <c r="BH75" s="214">
        <f>BD75*conversions!$C$2/conversions!$C$17+BG75*conversions!$C$6/conversions!$C$10</f>
        <v>0</v>
      </c>
      <c r="BI75" s="214">
        <f>BH75*intermediates!$B$41*conversions!$C$11/(conversions!$C$2*conversions!$C$6*intermediates!$B$42)</f>
        <v>0</v>
      </c>
      <c r="BJ75" s="214">
        <f>BH75*intermediates!$B$43/(conversions!$C$1*intermediates!$B$42)</f>
        <v>0</v>
      </c>
      <c r="BK75" s="214">
        <f t="shared" ref="BK75:BK106" si="148">BI75+BJ75</f>
        <v>0</v>
      </c>
      <c r="BL75" s="214">
        <f t="shared" ref="BL75:BL106" si="149">BK75+AM75</f>
        <v>14093.420002875815</v>
      </c>
      <c r="BM75" s="214">
        <f t="shared" ref="BM75:BM106" si="150">BL75-(AW75+AY75+BB75)</f>
        <v>12880.143462845361</v>
      </c>
      <c r="BN75" s="214">
        <f>IF(A75&lt;intermediates!$B$29,MIN(BO74+intermediates!$B$33*AN74),MIN(BO74*intermediates!$B$35,BO74+intermediates!$B$37*AN74))</f>
        <v>481.34489995488235</v>
      </c>
      <c r="BO75" s="212">
        <f>IF(A75&lt;intermediates!$B$29,MIN(BM75,BO74+intermediates!$B$33*AN74),MIN(BM75,BO74*intermediates!$B$35,BO74+intermediates!$B$37*AN74))</f>
        <v>481.34489995488235</v>
      </c>
      <c r="BP75" s="214">
        <f t="shared" ref="BP75:BP106" si="151">BN75-BO75</f>
        <v>0</v>
      </c>
      <c r="BQ75" s="214">
        <f t="shared" ref="BQ75:BQ106" si="152">BL75-(AW75+BO75+AY75+BB75)</f>
        <v>12398.798562890479</v>
      </c>
      <c r="BR75" s="212" t="str">
        <f t="shared" si="87"/>
        <v/>
      </c>
      <c r="BS75" s="212">
        <f>BP75*conversions!$C$1*intermediates!$B$42/intermediates!$B$43</f>
        <v>0</v>
      </c>
      <c r="BT75" s="214">
        <f>MIN(BT74+BS75,intermediates!$B$27*1000)</f>
        <v>0</v>
      </c>
      <c r="BU75" s="219" t="str">
        <f>IF(AND(BT75=intermediates!$B$27*1000,BT74&lt;&gt;intermediates!$B$27*1000),A75,"")</f>
        <v/>
      </c>
      <c r="BV75" s="212">
        <f>BT75*intermediates!$B$43/(conversions!$C$1*intermediates!$B$42)</f>
        <v>0</v>
      </c>
      <c r="BW75" s="214">
        <f t="shared" ref="BW75:BW106" si="153">BV75+BL75</f>
        <v>14093.420002875815</v>
      </c>
      <c r="BX75" s="214">
        <f t="shared" ref="BX75:BX106" si="154">BV75+BO75</f>
        <v>481.34489995488235</v>
      </c>
      <c r="BY75" s="227">
        <f>IF(OR(BQ75&gt;0,BT75&lt;&gt;intermediates!$B$27*1000),MAX(0,(BX75-BX74)/AM74),0.000000000001)</f>
        <v>4.4500000000000008E-3</v>
      </c>
      <c r="BZ75" s="322">
        <f>BH75*intermediates!$B$49*1000000</f>
        <v>0</v>
      </c>
      <c r="CA75" s="322">
        <f>BI75*conversions!$C$1*1000000*intermediates!$B$50</f>
        <v>0</v>
      </c>
      <c r="CB75" s="322">
        <f>BT75*1000000*intermediates!$B$49</f>
        <v>0</v>
      </c>
      <c r="CC75" s="214">
        <f>BW75*conversions!$C$1*1000000/L75</f>
        <v>21316.381813864529</v>
      </c>
      <c r="CD75" s="173">
        <f t="shared" si="100"/>
        <v>2019</v>
      </c>
      <c r="CE75" s="173"/>
      <c r="CF75" s="173"/>
      <c r="CG75" s="173"/>
      <c r="CH75" s="173"/>
      <c r="CI75" s="173">
        <f t="shared" ref="CI75:CI106" si="155">BQ75</f>
        <v>12398.798562890479</v>
      </c>
      <c r="CJ75" s="173">
        <f t="shared" ref="CJ75:CJ106" si="156">AW75</f>
        <v>972.39515442112543</v>
      </c>
      <c r="CK75" s="173">
        <f t="shared" ref="CK75:CK106" si="157">BB75</f>
        <v>240.88138560932882</v>
      </c>
      <c r="CL75" s="173">
        <f t="shared" ref="CL75:CL106" si="158">AY75</f>
        <v>0</v>
      </c>
      <c r="CM75" s="173"/>
      <c r="CN75" s="173"/>
      <c r="CO75" s="329">
        <f>BX75</f>
        <v>481.34489995488235</v>
      </c>
      <c r="CP75" s="174">
        <f t="shared" ref="CP75:CP106" si="159">BQ75*$AF$5/1000</f>
        <v>42.63268223541629</v>
      </c>
      <c r="CQ75" s="228">
        <f t="shared" ref="CQ75:CQ106" si="160">AV75+BT75/1000</f>
        <v>0</v>
      </c>
      <c r="CR75" s="228">
        <f>CR74+CQ75</f>
        <v>0</v>
      </c>
      <c r="CS75" s="214">
        <f t="shared" ref="CS75:CS106" ca="1" si="161">CP75-(CQ75+HK75)</f>
        <v>42.018994636169523</v>
      </c>
      <c r="CT75" s="190">
        <f t="shared" ref="CT75:CT106" ca="1" si="162">1000000000*CS75/L75</f>
        <v>5.4474840006382665</v>
      </c>
      <c r="CU75" s="190">
        <f t="shared" ca="1" si="95"/>
        <v>42.018994636169523</v>
      </c>
      <c r="CV75" s="198">
        <f>CV74+CP75</f>
        <v>2314.7365338111463</v>
      </c>
      <c r="CW75" s="198">
        <f ca="1">CW74+CP75+IF(HK75&lt;0,-HK75,0)</f>
        <v>2314.7365338111463</v>
      </c>
      <c r="CX75" s="198">
        <f ca="1">CX74+CS75</f>
        <v>2314.1228462118997</v>
      </c>
      <c r="CY75" s="198">
        <f ca="1">CY74+IF(HK75&gt;0,-HK75,0)-CQ75</f>
        <v>-0.61368759924676852</v>
      </c>
      <c r="CZ75" s="199">
        <f ca="1">IF(CX75&lt;intermediates!$B$55,intermediates!$B$56+(CX75-intermediates!$B$55)*intermediates!$B$53,intermediates!$B$56+(data!CX75-intermediates!$B$55)*intermediates!$B$58)</f>
        <v>1.2275110603040726</v>
      </c>
      <c r="DD75" s="209"/>
      <c r="DG75" s="201">
        <f>IF(A75&gt;MAX(intermediates!B$31,intermediates!$B$32),DG74,DG74+intermediates!$B$60*DG$73)</f>
        <v>15760229412500</v>
      </c>
      <c r="DH75" s="201">
        <f>IF(A75&gt;MAX(intermediates!B$31,intermediates!$B$32),DH74,DH74+intermediates!$B$61*DH$73)</f>
        <v>32508373768750</v>
      </c>
      <c r="DI75" s="201">
        <f>IF(A75&gt;MAX(intermediates!B$31,intermediates!$B$32),DI74,DI74+intermediates!$B$62*DI$73)</f>
        <v>39941453006000</v>
      </c>
      <c r="DJ75" s="221"/>
      <c r="EE75" s="218"/>
      <c r="EF75" s="212">
        <f>$EF$69+intermediates!$B$90*(A75-2013)*intermediates!$B$92+intermediates!$B$91*intermediates!$B$92*(A75-2013)^2</f>
        <v>2835.1570285492185</v>
      </c>
      <c r="EH75" s="212">
        <f>IF(A75&lt;intermediates!$B$29,data!EH74,IF(A75&lt;intermediates!$B$31,data!$EH$69+(intermediates!$B$93-data!$EH$69)*(data!A75-intermediates!$B$29)/(intermediates!$B$31-intermediates!$B$29),intermediates!$B$93))</f>
        <v>0.17488936755242579</v>
      </c>
      <c r="EI75" s="212">
        <f t="shared" si="128"/>
        <v>0.17488936755242579</v>
      </c>
      <c r="EN75" s="218"/>
      <c r="EO75" s="212">
        <f t="shared" si="129"/>
        <v>2339.3182089144307</v>
      </c>
      <c r="EQ75" s="212">
        <f t="shared" si="130"/>
        <v>495.8388196347878</v>
      </c>
      <c r="ET75" s="214">
        <f>IF(A75&lt;intermediates!$B$29,ET74+intermediates!$B$63,ET74+intermediates!$B$63*intermediates!$B$67)</f>
        <v>845.60509908288748</v>
      </c>
      <c r="EU75" s="215">
        <f t="shared" si="131"/>
        <v>845.60509908288748</v>
      </c>
      <c r="EV75" s="216">
        <f>data!EU75*conversions!$C$13</f>
        <v>0.98343873023339812</v>
      </c>
      <c r="EX75" s="212">
        <f>intermediates!$B$64+intermediates!$B$64*(EXP(-(data!A75-intermediates!$B$66)/intermediates!$B$65)-1)</f>
        <v>1.9626097818775962E-2</v>
      </c>
      <c r="EY75" s="217">
        <f>IF(A75&lt;intermediates!$B$29,data!EX75,data!EY74+(data!EX75-data!EX74)*intermediates!$B$68)</f>
        <v>1.9626097818775962E-2</v>
      </c>
      <c r="EZ75" s="217">
        <f t="shared" si="132"/>
        <v>1.9626097818775962E-2</v>
      </c>
      <c r="FB75" s="212">
        <f>intermediates!$B$94+intermediates!$B$95+(intermediates!$B$95*(EXP(-(data!A75-intermediates!$B$97)/intermediates!$B$96)-1))</f>
        <v>1.7983331745906197</v>
      </c>
      <c r="FC75" s="217">
        <f>IF(A75&lt;intermediates!$B$29,data!FB75,data!FC74+(data!FB75-data!FB74)*intermediates!$B$68)</f>
        <v>1.7983331745906197</v>
      </c>
      <c r="FD75" s="212">
        <f t="shared" si="133"/>
        <v>1.7983331745906197</v>
      </c>
      <c r="FF75" s="184">
        <f>intermediates!$B$98+intermediates!$B$99*EXP(-(A75-intermediates!$B$101)/intermediates!$B$100)</f>
        <v>0.86703942295867975</v>
      </c>
      <c r="FG75" s="184">
        <f t="shared" si="101"/>
        <v>0.86703942295867975</v>
      </c>
      <c r="FI75" s="184">
        <f>intermediates!$B$102+intermediates!$B$103*EXP(-(A75-intermediates!$B$105)/intermediates!$B$104)</f>
        <v>2.4000331315269803E-2</v>
      </c>
      <c r="FJ75" s="184">
        <f t="shared" si="134"/>
        <v>2.4000331315269803E-2</v>
      </c>
      <c r="FL75" s="184">
        <f>intermediates!$B$106</f>
        <v>4.5616870531049965E-2</v>
      </c>
      <c r="FM75" s="184">
        <f t="shared" si="135"/>
        <v>4.5616870531049965E-2</v>
      </c>
      <c r="FN75" s="218">
        <f>IF(A75&lt;intermediates!$B$29,0,IF(A75&lt;intermediates!$B$31,(data!A75-intermediates!$B$29)/(intermediates!$B$31-intermediates!$B$29),1))</f>
        <v>0</v>
      </c>
      <c r="FO75" s="218">
        <f t="shared" si="81"/>
        <v>1395992494071049.8</v>
      </c>
      <c r="FP75" s="218">
        <f t="shared" si="21"/>
        <v>1610068074306672.3</v>
      </c>
      <c r="FQ75" s="218">
        <f t="shared" si="22"/>
        <v>31599353521230.996</v>
      </c>
      <c r="FR75" s="218">
        <f t="shared" si="23"/>
        <v>2895438831374923.5</v>
      </c>
      <c r="FS75" s="218">
        <f t="shared" si="24"/>
        <v>3424102851928.4131</v>
      </c>
      <c r="FT75" s="218">
        <f>intermediates!$B$69*data!EU75/intermediates!$B$71</f>
        <v>2.15234722827755</v>
      </c>
      <c r="FU75" s="218">
        <f>BC75*conversions!$C$1*1000000</f>
        <v>2810282832108.8359</v>
      </c>
      <c r="FV75" s="218">
        <f t="shared" si="41"/>
        <v>1305682835551.4966</v>
      </c>
      <c r="FX75" s="221"/>
      <c r="FY75" s="221"/>
      <c r="FZ75" s="221"/>
      <c r="GA75" s="218">
        <f t="shared" si="102"/>
        <v>222.09891098992358</v>
      </c>
      <c r="GB75" s="218">
        <f>GA75*1000000*10000*intermediates!$B$71/(intermediates!$B$72*data!EU75)</f>
        <v>1289864549223.2087</v>
      </c>
      <c r="GC75" s="218">
        <f t="shared" si="83"/>
        <v>7788687267347.7832</v>
      </c>
      <c r="GD75" s="218">
        <f t="shared" si="144"/>
        <v>13808337504050.902</v>
      </c>
      <c r="GE75" s="218">
        <f t="shared" si="30"/>
        <v>14841565785022.229</v>
      </c>
      <c r="GF75" s="218">
        <f t="shared" si="31"/>
        <v>356202496077.90582</v>
      </c>
      <c r="GG75" s="218">
        <f t="shared" si="136"/>
        <v>677025784893.41992</v>
      </c>
      <c r="GH75" s="218">
        <f t="shared" si="103"/>
        <v>9439567205968.1777</v>
      </c>
      <c r="GI75" s="218">
        <f t="shared" si="145"/>
        <v>1773222913308.0176</v>
      </c>
      <c r="GJ75" s="218">
        <f>ET75*intermediates!$B$73/intermediates!$B$71</f>
        <v>3.2285208424163248</v>
      </c>
      <c r="GK75" s="218">
        <f>CL75*conversions!$C$1*1000000/data!GJ75</f>
        <v>0</v>
      </c>
      <c r="GL75" s="218">
        <f>MIN(1,FN75)*(intermediates!$B$75-data!$GL$69)+data!$GL$69</f>
        <v>4.023535335695938E-2</v>
      </c>
      <c r="GM75" s="218">
        <f>GL75*intermediates!$B$74*(FS75+GC75+GK75+GG75+GF75+GB75+FV75)</f>
        <v>89573346559.63913</v>
      </c>
      <c r="GN75" s="218">
        <f>MIN(1,FN75)*intermediates!$B$76</f>
        <v>0</v>
      </c>
      <c r="GO75" s="218">
        <f t="shared" si="137"/>
        <v>0</v>
      </c>
      <c r="GP75" s="218"/>
      <c r="GQ75" s="218">
        <f>IF(AND(A75&gt;intermediates!$B$29+intermediates!$B$30,data!GP75&lt;intermediates!$B$77),1,0)</f>
        <v>0</v>
      </c>
      <c r="GR75" s="218">
        <f t="shared" si="104"/>
        <v>0</v>
      </c>
      <c r="GS75" s="218">
        <f t="shared" si="105"/>
        <v>46530492652812.867</v>
      </c>
      <c r="GT75" s="218">
        <f t="shared" si="97"/>
        <v>88210056187250</v>
      </c>
      <c r="GU75" s="218">
        <f t="shared" si="106"/>
        <v>39941453006000</v>
      </c>
      <c r="GV75" s="218">
        <f t="shared" si="107"/>
        <v>14931139131581.867</v>
      </c>
      <c r="GW75" s="218">
        <f t="shared" si="108"/>
        <v>1738110528437.1328</v>
      </c>
      <c r="GX75" s="218">
        <f>MIN(intermediates!$B$88,FN75*intermediates!$B$87*GO75)</f>
        <v>0</v>
      </c>
      <c r="GY75" s="218">
        <f t="shared" si="109"/>
        <v>0</v>
      </c>
      <c r="GZ75" s="218">
        <f>MIN(intermediates!$B$88-GX75,intermediates!$B$87*data!GW75*FN75)</f>
        <v>0</v>
      </c>
      <c r="HA75" s="218">
        <f t="shared" si="138"/>
        <v>1738110528437.1328</v>
      </c>
      <c r="HB75" s="218">
        <f t="shared" si="139"/>
        <v>0</v>
      </c>
      <c r="HC75" s="218">
        <f t="shared" si="110"/>
        <v>33337464049668.129</v>
      </c>
      <c r="HD75" s="218">
        <f>HC75*intermediates!$B$79/(10000*1000000000)</f>
        <v>2212.7476539978366</v>
      </c>
      <c r="HE75" s="218">
        <f>(GV75*intermediates!$B$80+GV75*GL75*intermediates!$B$82)/(10000*1000000000)</f>
        <v>452.97404984985468</v>
      </c>
      <c r="HF75" s="218">
        <f>GU75*intermediates!$B$78/(10000*1000000000)</f>
        <v>4022.0784528148665</v>
      </c>
      <c r="HG75" s="218">
        <f>HB75*intermediates!$B$81/(10000*1000000000)</f>
        <v>0</v>
      </c>
      <c r="HH75" s="218">
        <f t="shared" si="111"/>
        <v>0</v>
      </c>
      <c r="HI75" s="218">
        <f t="shared" si="112"/>
        <v>0</v>
      </c>
      <c r="HJ75" s="218">
        <f t="shared" si="113"/>
        <v>-2.1584672583342126</v>
      </c>
      <c r="HK75" s="218">
        <f ca="1">SUM(HJ75:INDIRECT(ADDRESS(MAX(CELL("row",HJ75)-intermediates!$B$83,69),CELL("col",HJ75))))/intermediates!$B$83+SUM(HH75:INDIRECT(ADDRESS(MAX(CELL("row",HH75)-intermediates!$B$84,69),CELL("col",HH75))))/intermediates!$B$84+SUM(HI75:INDIRECT(ADDRESS(MAX(CELL("row",HI75)-intermediates!$B$85,69),CELL("col",HI75))))/intermediates!$B$85</f>
        <v>0.61368759924676852</v>
      </c>
      <c r="HL75" s="218">
        <f t="shared" ref="HL75:HL134" ca="1" si="163">HL74+HK75</f>
        <v>0.61368759924676852</v>
      </c>
      <c r="HM75" s="188">
        <f t="shared" si="114"/>
        <v>2019</v>
      </c>
      <c r="HQ75" s="185">
        <f t="shared" si="115"/>
        <v>1357.728483297675</v>
      </c>
      <c r="HR75" s="185">
        <f t="shared" si="116"/>
        <v>169.27312083883734</v>
      </c>
      <c r="HS75" s="185">
        <f t="shared" si="117"/>
        <v>167.22238491721467</v>
      </c>
      <c r="HT75" s="185">
        <f t="shared" si="118"/>
        <v>0</v>
      </c>
      <c r="HU75" s="185">
        <f t="shared" si="119"/>
        <v>11.612590365197338</v>
      </c>
      <c r="HV75" s="185">
        <f t="shared" si="120"/>
        <v>0</v>
      </c>
      <c r="HW75" s="185">
        <f t="shared" si="121"/>
        <v>0</v>
      </c>
      <c r="HX75" s="185">
        <f t="shared" si="122"/>
        <v>229.88659137255303</v>
      </c>
      <c r="HY75" s="185">
        <f t="shared" si="123"/>
        <v>4096.6466291710021</v>
      </c>
      <c r="HZ75" s="185">
        <f t="shared" si="140"/>
        <v>1705.8365794189242</v>
      </c>
      <c r="IA75" s="185">
        <f t="shared" si="141"/>
        <v>6032.3697999624792</v>
      </c>
      <c r="IB75" s="185">
        <f t="shared" si="124"/>
        <v>2111.4929125153344</v>
      </c>
      <c r="IC75" s="185">
        <f t="shared" si="71"/>
        <v>6257.7043034884637</v>
      </c>
      <c r="ID75" s="185">
        <f t="shared" si="125"/>
        <v>5178.1445057502442</v>
      </c>
      <c r="IE75" s="184">
        <f t="shared" si="142"/>
        <v>-0.87905382304699409</v>
      </c>
      <c r="IF75" s="184">
        <f t="shared" si="143"/>
        <v>-4.3516457154827222E-2</v>
      </c>
    </row>
    <row r="76" spans="1:240" x14ac:dyDescent="0.3">
      <c r="A76" s="211">
        <v>2020</v>
      </c>
      <c r="B76" s="207">
        <v>7794798.7290000003</v>
      </c>
      <c r="C76" s="207">
        <v>1364352.3540000001</v>
      </c>
      <c r="D76" s="207">
        <f>B76-C76</f>
        <v>6430446.375</v>
      </c>
      <c r="E76" s="207">
        <v>7794798.7290000003</v>
      </c>
      <c r="F76" s="207">
        <v>7794798.7290000003</v>
      </c>
      <c r="G76" s="207">
        <v>7794798.7290000003</v>
      </c>
      <c r="H76" s="207">
        <f t="shared" si="126"/>
        <v>7794798729</v>
      </c>
      <c r="I76" s="207">
        <f t="shared" ref="I76:K137" si="164">1000*E76</f>
        <v>7794798729</v>
      </c>
      <c r="J76" s="207">
        <f t="shared" si="164"/>
        <v>7794798729</v>
      </c>
      <c r="K76" s="207">
        <f t="shared" si="164"/>
        <v>7794798729</v>
      </c>
      <c r="L76" s="187">
        <f t="shared" si="127"/>
        <v>7794798729</v>
      </c>
      <c r="AD76" s="215"/>
      <c r="AE76" s="214"/>
      <c r="AF76" s="219"/>
      <c r="AG76" s="190" t="s">
        <v>1184</v>
      </c>
      <c r="AH76" s="190">
        <f t="shared" ref="AH76:AH77" si="165">AH75</f>
        <v>48954.469137758482</v>
      </c>
      <c r="AI76" s="198">
        <f>AI75+intermediates!$B$9*$B$76/$D$76</f>
        <v>15506.888571589372</v>
      </c>
      <c r="AJ76" s="184">
        <f>IF(intermediates!$B$46=0,$AJ$74+(intermediates!$B$15-$AJ$74)*MIN(1,(data!A76-data!$A$74)/(intermediates!$B$32-data!$A$74)),IF(A76&lt;2021,$AJ$74+(intermediates!$B$15-$AJ$74)*MIN(1,(data!A76-data!$A$74)/(intermediates!$B$32-data!$A$74)),1))</f>
        <v>21435.668444965224</v>
      </c>
      <c r="AK76" s="192">
        <f t="shared" si="146"/>
        <v>21435.668444965224</v>
      </c>
      <c r="AL76" s="192">
        <f t="shared" si="85"/>
        <v>167086721150080.34</v>
      </c>
      <c r="AM76" s="192">
        <f>data!AL76/(1000000*conversions!$C$1)</f>
        <v>14321.718955721173</v>
      </c>
      <c r="AN76" s="192">
        <f>IF(intermediates!$B$13=1,($AJ$74+(27400-$AJ$74)*MIN(1,(data!A76-data!$A$74)/(intermediates!$B$32-data!$A$74)))*L76/(1000000*conversions!$C$1),data!AM76)</f>
        <v>14321.718955721173</v>
      </c>
      <c r="AV76" s="214">
        <f>IF(A76&lt;intermediates!$B$29,0,IF(A76&lt;intermediates!$B$31,(data!A76-intermediates!$B$29)*intermediates!$B$26/(intermediates!$B$31-intermediates!$B$29),intermediates!$B$26))</f>
        <v>0</v>
      </c>
      <c r="AW76" s="212">
        <f>MIN(AW75+intermediates!$B$16,intermediates!$B$17*data!$AW$74)</f>
        <v>995.99541560833461</v>
      </c>
      <c r="AX76" s="212">
        <f>AV76*1000/conversions!$C$16/intermediates!$B$40</f>
        <v>0</v>
      </c>
      <c r="AY76" s="212">
        <f>AX76*(1-intermediates!$B$39)*intermediates!$B$28/(conversions!$C$2)</f>
        <v>0</v>
      </c>
      <c r="AZ76" s="213">
        <f>IF(A76&lt;intermediates!$B$29,0,MIN(intermediates!$B$25,intermediates!$B$25*(A76-intermediates!$B$29)/(intermediates!$B$31-intermediates!$B$29)))</f>
        <v>0</v>
      </c>
      <c r="BA76" s="212">
        <f>IF(A76&lt;intermediates!$B$29,data!$BA$74,IF(intermediates!$B$23&gt;data!$BA$74,MIN(intermediates!$B$23,data!$BA$74+(intermediates!$B$23-data!$BA$74)*((data!A76-intermediates!$B$29)/(intermediates!$B$31-intermediates!$B$29))),MAX(intermediates!$B$23,data!$BA$74+(intermediates!$B$23-data!$BA$74)*((data!A76-intermediates!$B$29)/(intermediates!$B$31-intermediates!$B$29)))))</f>
        <v>1.7091762365712231E-2</v>
      </c>
      <c r="BB76" s="212">
        <f t="shared" si="147"/>
        <v>244.78341705970263</v>
      </c>
      <c r="BC76" s="212">
        <f t="shared" ref="BC76:BC139" si="166">BB76-BD76</f>
        <v>244.78341705970263</v>
      </c>
      <c r="BD76" s="212">
        <f t="shared" ref="BD76:BD139" si="167">BB76*AZ76</f>
        <v>0</v>
      </c>
      <c r="BE76" s="214">
        <f>MAX(0,MIN(1,(data!A76-intermediates!$B$29)/(intermediates!$B$31-intermediates!$B$29)))*((intermediates!$B$38*L76)-$BE$69*1000000000)/1000000000+$BE$69</f>
        <v>222.09891098992358</v>
      </c>
      <c r="BF76" s="214">
        <f t="shared" si="99"/>
        <v>222.09891098992358</v>
      </c>
      <c r="BG76" s="214">
        <f t="shared" ref="BG76:BG139" si="168">BE76*AZ76</f>
        <v>0</v>
      </c>
      <c r="BH76" s="214">
        <f>BD76*conversions!$C$2/conversions!$C$17+BG76*conversions!$C$6/conversions!$C$10</f>
        <v>0</v>
      </c>
      <c r="BI76" s="214">
        <f>BH76*intermediates!$B$41*conversions!$C$11/(conversions!$C$2*conversions!$C$6*intermediates!$B$42)</f>
        <v>0</v>
      </c>
      <c r="BJ76" s="214">
        <f>BH76*intermediates!$B$43/(conversions!$C$1*intermediates!$B$42)</f>
        <v>0</v>
      </c>
      <c r="BK76" s="214">
        <f t="shared" si="148"/>
        <v>0</v>
      </c>
      <c r="BL76" s="214">
        <f t="shared" si="149"/>
        <v>14321.718955721173</v>
      </c>
      <c r="BM76" s="214">
        <f t="shared" si="150"/>
        <v>13080.940123053137</v>
      </c>
      <c r="BN76" s="214">
        <f>IF(A76&lt;intermediates!$B$29,MIN(BO75+intermediates!$B$33*AN75),MIN(BO75*intermediates!$B$35,BO75+intermediates!$B$37*AN75))</f>
        <v>544.06061896767972</v>
      </c>
      <c r="BO76" s="212">
        <f>IF(A76&lt;intermediates!$B$29,MIN(BM76,BO75+intermediates!$B$33*AN75),MIN(BM76,BO75*intermediates!$B$35,BO75+intermediates!$B$37*AN75))</f>
        <v>544.06061896767972</v>
      </c>
      <c r="BP76" s="214">
        <f t="shared" si="151"/>
        <v>0</v>
      </c>
      <c r="BQ76" s="214">
        <f t="shared" si="152"/>
        <v>12536.879504085457</v>
      </c>
      <c r="BR76" s="212" t="str">
        <f t="shared" si="87"/>
        <v/>
      </c>
      <c r="BS76" s="212">
        <f>BP76*conversions!$C$1*intermediates!$B$42/intermediates!$B$43</f>
        <v>0</v>
      </c>
      <c r="BT76" s="214">
        <f>MIN(BT75+BS76,intermediates!$B$27*1000)</f>
        <v>0</v>
      </c>
      <c r="BU76" s="219" t="str">
        <f>IF(AND(BT76=intermediates!$B$27*1000,BT75&lt;&gt;intermediates!$B$27*1000),A76,"")</f>
        <v/>
      </c>
      <c r="BV76" s="212">
        <f>BT76*intermediates!$B$43/(conversions!$C$1*intermediates!$B$42)</f>
        <v>0</v>
      </c>
      <c r="BW76" s="214">
        <f t="shared" si="153"/>
        <v>14321.718955721173</v>
      </c>
      <c r="BX76" s="214">
        <f t="shared" si="154"/>
        <v>544.06061896767972</v>
      </c>
      <c r="BY76" s="227">
        <f>IF(OR(BQ76&gt;0,BT76&lt;&gt;intermediates!$B$27*1000),MAX(0,(BX76-BX75)/AM75),0.000000000001)</f>
        <v>4.4499999999999991E-3</v>
      </c>
      <c r="BZ76" s="322">
        <f>BH76*intermediates!$B$49*1000000</f>
        <v>0</v>
      </c>
      <c r="CA76" s="322">
        <f>BI76*conversions!$C$1*1000000*intermediates!$B$50</f>
        <v>0</v>
      </c>
      <c r="CB76" s="322">
        <f>BT76*1000000*intermediates!$B$49</f>
        <v>0</v>
      </c>
      <c r="CC76" s="214">
        <f>BW76*conversions!$C$1*1000000/L76</f>
        <v>21435.668444965224</v>
      </c>
      <c r="CD76" s="173">
        <f t="shared" si="100"/>
        <v>2020</v>
      </c>
      <c r="CE76" s="173"/>
      <c r="CF76" s="173"/>
      <c r="CG76" s="173"/>
      <c r="CH76" s="173"/>
      <c r="CI76" s="173">
        <f t="shared" si="155"/>
        <v>12536.879504085457</v>
      </c>
      <c r="CJ76" s="173">
        <f t="shared" si="156"/>
        <v>995.99541560833461</v>
      </c>
      <c r="CK76" s="173">
        <f t="shared" si="157"/>
        <v>244.78341705970263</v>
      </c>
      <c r="CL76" s="173">
        <f t="shared" si="158"/>
        <v>0</v>
      </c>
      <c r="CM76" s="173"/>
      <c r="CN76" s="173"/>
      <c r="CO76" s="329">
        <f t="shared" ref="CO76:CO139" si="169">BX76</f>
        <v>544.06061896767972</v>
      </c>
      <c r="CP76" s="174">
        <f t="shared" si="159"/>
        <v>43.107467018705826</v>
      </c>
      <c r="CQ76" s="228">
        <f>AV76+BT76/1000</f>
        <v>0</v>
      </c>
      <c r="CR76" s="228">
        <f t="shared" ref="CR76:CR139" si="170">CR75+CQ76</f>
        <v>0</v>
      </c>
      <c r="CS76" s="214">
        <f t="shared" ca="1" si="161"/>
        <v>42.578925639683142</v>
      </c>
      <c r="CT76" s="190">
        <f t="shared" ca="1" si="162"/>
        <v>5.462479163351742</v>
      </c>
      <c r="CU76" s="190">
        <f t="shared" ca="1" si="95"/>
        <v>42.578925639683142</v>
      </c>
      <c r="CV76" s="198">
        <f>CV75+CP76</f>
        <v>2357.8440008298521</v>
      </c>
      <c r="CW76" s="198">
        <f t="shared" ref="CW76:CW139" ca="1" si="171">CW75+CP76+IF(HK76&lt;0,-HK76,0)</f>
        <v>2357.8440008298521</v>
      </c>
      <c r="CX76" s="198">
        <f t="shared" ref="CX76:CX106" ca="1" si="172">CX75+CS76</f>
        <v>2356.7017718515831</v>
      </c>
      <c r="CY76" s="198">
        <f t="shared" ref="CY76:CY139" ca="1" si="173">CY75+IF(HK76&gt;0,-HK76,0)-CQ76</f>
        <v>-1.1422289782694519</v>
      </c>
      <c r="CZ76" s="199">
        <f ca="1">IF(CX76&lt;intermediates!$B$55,intermediates!$B$56+(CX76-intermediates!$B$55)*intermediates!$B$53,intermediates!$B$56+(data!CX76-intermediates!$B$55)*intermediates!$B$58)</f>
        <v>1.2506654671956006</v>
      </c>
      <c r="DD76" s="209"/>
      <c r="DG76" s="201">
        <f>IF(A76&gt;MAX(intermediates!B$31,intermediates!$B$32),DG75,DG75+intermediates!$B$60*DG$73)</f>
        <v>15833660353750</v>
      </c>
      <c r="DH76" s="201">
        <f>IF(A76&gt;MAX(intermediates!B$31,intermediates!$B$32),DH75,DH75+intermediates!$B$61*DH$73)</f>
        <v>32430446485625</v>
      </c>
      <c r="DI76" s="201">
        <f>IF(A76&gt;MAX(intermediates!B$31,intermediates!$B$32),DI75,DI75+intermediates!$B$62*DI$73)</f>
        <v>39916511399000</v>
      </c>
      <c r="DJ76" s="221"/>
      <c r="EE76" s="218"/>
      <c r="EF76" s="212">
        <f>$EF$69+intermediates!$B$90*(A76-2013)*intermediates!$B$92+intermediates!$B$91*intermediates!$B$92*(A76-2013)^2</f>
        <v>2842.5991185492189</v>
      </c>
      <c r="EH76" s="212">
        <f>IF(A76&lt;intermediates!$B$29,data!EH75,IF(A76&lt;intermediates!$B$31,data!$EH$69+(intermediates!$B$93-data!$EH$69)*(data!A76-intermediates!$B$29)/(intermediates!$B$31-intermediates!$B$29),intermediates!$B$93))</f>
        <v>0.17488936755242579</v>
      </c>
      <c r="EI76" s="212">
        <f t="shared" si="128"/>
        <v>0.17488936755242579</v>
      </c>
      <c r="EN76" s="218"/>
      <c r="EO76" s="212">
        <f t="shared" si="129"/>
        <v>2345.4587565010629</v>
      </c>
      <c r="EQ76" s="212">
        <f t="shared" si="130"/>
        <v>497.14036204815602</v>
      </c>
      <c r="ET76" s="214">
        <f>IF(A76&lt;intermediates!$B$29,ET75+intermediates!$B$63,ET75+intermediates!$B$63*intermediates!$B$67)</f>
        <v>855.58068847433026</v>
      </c>
      <c r="EU76" s="215">
        <f t="shared" si="131"/>
        <v>855.58068847433026</v>
      </c>
      <c r="EV76" s="216">
        <f>data!EU76*conversions!$C$13</f>
        <v>0.99504034069564606</v>
      </c>
      <c r="EX76" s="212">
        <f>intermediates!$B$64+intermediates!$B$64*(EXP(-(data!A76-intermediates!$B$66)/intermediates!$B$65)-1)</f>
        <v>1.9261239112248741E-2</v>
      </c>
      <c r="EY76" s="217">
        <f>IF(A76&lt;intermediates!$B$29,data!EX76,data!EY75+(data!EX76-data!EX75)*intermediates!$B$68)</f>
        <v>1.9261239112248741E-2</v>
      </c>
      <c r="EZ76" s="217">
        <f t="shared" si="132"/>
        <v>1.9261239112248741E-2</v>
      </c>
      <c r="FB76" s="212">
        <f>intermediates!$B$94+intermediates!$B$95+(intermediates!$B$95*(EXP(-(data!A76-intermediates!$B$97)/intermediates!$B$96)-1))</f>
        <v>1.7901974921333632</v>
      </c>
      <c r="FC76" s="217">
        <f>IF(A76&lt;intermediates!$B$29,data!FB76,data!FC75+(data!FB76-data!FB75)*intermediates!$B$68)</f>
        <v>1.7901974921333632</v>
      </c>
      <c r="FD76" s="212">
        <f t="shared" si="133"/>
        <v>1.7901974921333632</v>
      </c>
      <c r="FF76" s="184">
        <f>intermediates!$B$98+intermediates!$B$99*EXP(-(A76-intermediates!$B$101)/intermediates!$B$100)</f>
        <v>0.86797943262288346</v>
      </c>
      <c r="FG76" s="184">
        <f t="shared" si="101"/>
        <v>0.86797943262288346</v>
      </c>
      <c r="FI76" s="184">
        <f>intermediates!$B$102+intermediates!$B$103*EXP(-(A76-intermediates!$B$105)/intermediates!$B$104)</f>
        <v>2.3701503935469305E-2</v>
      </c>
      <c r="FJ76" s="184">
        <f t="shared" si="134"/>
        <v>2.3701503935469305E-2</v>
      </c>
      <c r="FL76" s="184">
        <f>intermediates!$B$106</f>
        <v>4.5616870531049965E-2</v>
      </c>
      <c r="FM76" s="184">
        <f t="shared" si="135"/>
        <v>4.5616870531049965E-2</v>
      </c>
      <c r="FN76" s="218">
        <f>IF(A76&lt;intermediates!$B$29,0,IF(A76&lt;intermediates!$B$31,(data!A76-intermediates!$B$29)/(intermediates!$B$31-intermediates!$B$29),1))</f>
        <v>0</v>
      </c>
      <c r="FO76" s="218">
        <f t="shared" si="81"/>
        <v>1414414807713061.8</v>
      </c>
      <c r="FP76" s="218">
        <f t="shared" si="21"/>
        <v>1629548759512590.3</v>
      </c>
      <c r="FQ76" s="218">
        <f t="shared" si="22"/>
        <v>31387128302040.32</v>
      </c>
      <c r="FR76" s="218">
        <f t="shared" si="23"/>
        <v>2917214102588472</v>
      </c>
      <c r="FS76" s="218">
        <f t="shared" si="24"/>
        <v>3409630607477.1768</v>
      </c>
      <c r="FT76" s="218">
        <f>intermediates!$B$69*data!EU76/intermediates!$B$71</f>
        <v>2.1777384329904748</v>
      </c>
      <c r="FU76" s="218">
        <f>BC76*conversions!$C$1*1000000</f>
        <v>2855806532363.1973</v>
      </c>
      <c r="FV76" s="218">
        <f t="shared" si="41"/>
        <v>1311363425974.7153</v>
      </c>
      <c r="FX76" s="221"/>
      <c r="FY76" s="221"/>
      <c r="FZ76" s="221"/>
      <c r="GA76" s="218">
        <f t="shared" si="102"/>
        <v>222.09891098992358</v>
      </c>
      <c r="GB76" s="218">
        <f>GA76*1000000*10000*intermediates!$B$71/(intermediates!$B$72*data!EU76)</f>
        <v>1274825454387.4265</v>
      </c>
      <c r="GC76" s="218">
        <f t="shared" si="83"/>
        <v>7799461115519.7881</v>
      </c>
      <c r="GD76" s="218">
        <f t="shared" si="144"/>
        <v>13795280603359.105</v>
      </c>
      <c r="GE76" s="218">
        <f t="shared" si="30"/>
        <v>14822770993734.234</v>
      </c>
      <c r="GF76" s="218">
        <f t="shared" si="31"/>
        <v>351321965042.55225</v>
      </c>
      <c r="GG76" s="218">
        <f t="shared" si="136"/>
        <v>676168425332.57739</v>
      </c>
      <c r="GH76" s="218">
        <f t="shared" si="103"/>
        <v>9452624664869.2285</v>
      </c>
      <c r="GI76" s="218">
        <f t="shared" si="145"/>
        <v>1756467058127.7363</v>
      </c>
      <c r="GJ76" s="218">
        <f>ET76*intermediates!$B$73/intermediates!$B$71</f>
        <v>3.2666076494857124</v>
      </c>
      <c r="GK76" s="218">
        <f>CL76*conversions!$C$1*1000000/data!GJ76</f>
        <v>0</v>
      </c>
      <c r="GL76" s="218">
        <f>MIN(1,FN76)*(intermediates!$B$75-data!$GL$69)+data!$GL$69</f>
        <v>4.023535335695938E-2</v>
      </c>
      <c r="GM76" s="218">
        <f>GL76*intermediates!$B$74*(FS76+GC76+GK76+GG76+GF76+GB76+FV76)</f>
        <v>89459914299.327744</v>
      </c>
      <c r="GN76" s="218">
        <f>MIN(1,FN76)*intermediates!$B$76</f>
        <v>0</v>
      </c>
      <c r="GO76" s="218">
        <f t="shared" si="137"/>
        <v>0</v>
      </c>
      <c r="GP76" s="218">
        <f>IF(A76&gt;intermediates!$B$29,MIN(1,(A76-intermediates!$B$29)/(intermediates!$B$31-intermediates!$B$29))*intermediates!$B$77,0)</f>
        <v>0</v>
      </c>
      <c r="GQ76" s="218">
        <f>IF(AND(A76&gt;intermediates!$B$29+intermediates!$B$30,data!GP76&lt;intermediates!$B$77),1,0)</f>
        <v>0</v>
      </c>
      <c r="GR76" s="218">
        <f t="shared" si="104"/>
        <v>0</v>
      </c>
      <c r="GS76" s="218">
        <f t="shared" si="105"/>
        <v>46299359210073.891</v>
      </c>
      <c r="GT76" s="218">
        <f t="shared" si="97"/>
        <v>88180618238375</v>
      </c>
      <c r="GU76" s="218">
        <f t="shared" si="106"/>
        <v>39916511399000</v>
      </c>
      <c r="GV76" s="218">
        <f t="shared" si="107"/>
        <v>14912230908033.566</v>
      </c>
      <c r="GW76" s="218">
        <f t="shared" si="108"/>
        <v>1964747629301.1094</v>
      </c>
      <c r="GX76" s="218">
        <f>MIN(intermediates!$B$88,FN76*intermediates!$B$87*GO76)</f>
        <v>0</v>
      </c>
      <c r="GY76" s="218">
        <f t="shared" si="109"/>
        <v>0</v>
      </c>
      <c r="GZ76" s="218">
        <f>MIN(intermediates!$B$88-GX76,intermediates!$B$87*data!GW76*FN76)</f>
        <v>0</v>
      </c>
      <c r="HA76" s="218">
        <f t="shared" si="138"/>
        <v>1964747629301.1094</v>
      </c>
      <c r="HB76" s="218">
        <f t="shared" si="139"/>
        <v>0</v>
      </c>
      <c r="HC76" s="218">
        <f t="shared" si="110"/>
        <v>33351875931341.43</v>
      </c>
      <c r="HD76" s="218">
        <f>HC76*intermediates!$B$79/(10000*1000000000)</f>
        <v>2213.7042311782357</v>
      </c>
      <c r="HE76" s="218">
        <f>(GV76*intermediates!$B$80+GV76*GL76*intermediates!$B$82)/(10000*1000000000)</f>
        <v>452.4004208373151</v>
      </c>
      <c r="HF76" s="218">
        <f>GU76*intermediates!$B$78/(10000*1000000000)</f>
        <v>4019.5668491414049</v>
      </c>
      <c r="HG76" s="218">
        <f>HB76*intermediates!$B$81/(10000*1000000000)</f>
        <v>0</v>
      </c>
      <c r="HH76" s="218">
        <f t="shared" si="111"/>
        <v>0</v>
      </c>
      <c r="HI76" s="218">
        <f t="shared" si="112"/>
        <v>0</v>
      </c>
      <c r="HJ76" s="218">
        <f t="shared" si="113"/>
        <v>-2.1286555056021257</v>
      </c>
      <c r="HK76" s="218">
        <f ca="1">SUM(HJ76:INDIRECT(ADDRESS(MAX(CELL("row",HJ76)-intermediates!$B$83,69),CELL("col",HJ76))))/intermediates!$B$83+SUM(HH76:INDIRECT(ADDRESS(MAX(CELL("row",HH76)-intermediates!$B$84,69),CELL("col",HH76))))/intermediates!$B$84+SUM(HI76:INDIRECT(ADDRESS(MAX(CELL("row",HI76)-intermediates!$B$85,69),CELL("col",HI76))))/intermediates!$B$85</f>
        <v>0.5285413790226835</v>
      </c>
      <c r="HL76" s="218">
        <f t="shared" ca="1" si="163"/>
        <v>1.1422289782694519</v>
      </c>
      <c r="HM76" s="188">
        <f t="shared" si="114"/>
        <v>2020</v>
      </c>
      <c r="HQ76" s="185">
        <f t="shared" si="115"/>
        <v>1344.501047378405</v>
      </c>
      <c r="HR76" s="185">
        <f t="shared" si="116"/>
        <v>168.23570069819507</v>
      </c>
      <c r="HS76" s="185">
        <f t="shared" si="117"/>
        <v>163.54821961528373</v>
      </c>
      <c r="HT76" s="185">
        <f t="shared" si="118"/>
        <v>0</v>
      </c>
      <c r="HU76" s="185">
        <f t="shared" si="119"/>
        <v>11.476872900707292</v>
      </c>
      <c r="HV76" s="185">
        <f t="shared" si="120"/>
        <v>0</v>
      </c>
      <c r="HW76" s="185">
        <f t="shared" si="121"/>
        <v>0</v>
      </c>
      <c r="HX76" s="185">
        <f t="shared" si="122"/>
        <v>225.33834665838444</v>
      </c>
      <c r="HY76" s="185">
        <f t="shared" si="123"/>
        <v>4026.6759147053685</v>
      </c>
      <c r="HZ76" s="185">
        <f t="shared" si="140"/>
        <v>1687.7618405925912</v>
      </c>
      <c r="IA76" s="185">
        <f t="shared" si="141"/>
        <v>5939.7761019563441</v>
      </c>
      <c r="IB76" s="185">
        <f t="shared" si="124"/>
        <v>2121.3308982419717</v>
      </c>
      <c r="IC76" s="185">
        <f t="shared" si="71"/>
        <v>6191.8349039355935</v>
      </c>
      <c r="ID76" s="185">
        <f t="shared" si="125"/>
        <v>5120.9162400170035</v>
      </c>
      <c r="IE76" s="184">
        <f t="shared" si="142"/>
        <v>-0.8795443729671405</v>
      </c>
      <c r="IF76" s="184">
        <f t="shared" si="143"/>
        <v>-4.9221426433331487E-2</v>
      </c>
    </row>
    <row r="77" spans="1:240" x14ac:dyDescent="0.3">
      <c r="A77" s="184">
        <v>2021</v>
      </c>
      <c r="E77" s="207">
        <v>7865623.9349999996</v>
      </c>
      <c r="F77" s="207">
        <v>7874965.7319999896</v>
      </c>
      <c r="G77" s="207">
        <v>7883801.7920000004</v>
      </c>
      <c r="I77" s="207">
        <f t="shared" si="164"/>
        <v>7865623935</v>
      </c>
      <c r="J77" s="207">
        <f t="shared" si="164"/>
        <v>7874965731.9999895</v>
      </c>
      <c r="K77" s="207">
        <f t="shared" si="164"/>
        <v>7883801792</v>
      </c>
      <c r="L77" s="187">
        <f>IF(intermediates!$B$4&gt;=2,(intermediates!$B$4-2)*K77+(1-(intermediates!$B$4-2))*J77,(intermediates!$B$4-1)*J77+(1-(intermediates!$B$4-1))*I77)</f>
        <v>7878228530.7201471</v>
      </c>
      <c r="AD77" s="215"/>
      <c r="AE77" s="214"/>
      <c r="AF77" s="219"/>
      <c r="AG77" s="190" t="s">
        <v>1184</v>
      </c>
      <c r="AH77" s="190">
        <f t="shared" si="165"/>
        <v>48954.469137758482</v>
      </c>
      <c r="AI77" s="198">
        <f>AI76+intermediates!$B$9*$B$76/$D$76</f>
        <v>15647.494084343742</v>
      </c>
      <c r="AJ77" s="184">
        <f>IF(intermediates!$B$46=0,$AJ$74+(intermediates!$B$15-$AJ$74)*MIN(1,(data!A77-data!$A$74)/(intermediates!$B$32-data!$A$74)),IF(A77&lt;2021,$AJ$74+(intermediates!$B$15-$AJ$74)*MIN(1,(data!A77-data!$A$74)/(intermediates!$B$32-data!$A$74)),intermediates!$B$47+(intermediates!$B$15-intermediates!$B$47)*MIN(1,(data!A77-$A$77)/(intermediates!$B$32-$A$77))))</f>
        <v>21554.955076065922</v>
      </c>
      <c r="AK77" s="192">
        <f t="shared" si="146"/>
        <v>21554.955076065922</v>
      </c>
      <c r="AL77" s="192">
        <f t="shared" si="85"/>
        <v>169814862058653.59</v>
      </c>
      <c r="AM77" s="192">
        <f>data!AL77/(1000000*conversions!$C$1)</f>
        <v>14555.559605027453</v>
      </c>
      <c r="AN77" s="192">
        <f>IF(intermediates!$B$13=1,($AJ$74+(27400-$AJ$74)*MIN(1,(data!A77-data!$A$74)/(intermediates!$B$32-data!$A$74)))*L77/(1000000*conversions!$C$1),data!AM77)</f>
        <v>14555.559605027453</v>
      </c>
      <c r="AV77" s="214">
        <f>IF(A77&lt;intermediates!$B$29,0,IF(A77&lt;intermediates!$B$31,(data!A77-intermediates!$B$29)*intermediates!$B$26/(intermediates!$B$31-intermediates!$B$29),intermediates!$B$26))</f>
        <v>0</v>
      </c>
      <c r="AW77" s="212">
        <f>MIN(AW76+intermediates!$B$16,intermediates!$B$17*data!$AW$74)</f>
        <v>1019.5956767955438</v>
      </c>
      <c r="AX77" s="212">
        <f>AV77*1000/conversions!$C$16/intermediates!$B$40</f>
        <v>0</v>
      </c>
      <c r="AY77" s="212">
        <f>AX77*(1-intermediates!$B$39)*intermediates!$B$28/(conversions!$C$2)</f>
        <v>0</v>
      </c>
      <c r="AZ77" s="213">
        <f>IF(A77&lt;intermediates!$B$29,0,MIN(intermediates!$B$25,intermediates!$B$25*(A77-intermediates!$B$29)/(intermediates!$B$31-intermediates!$B$29)))</f>
        <v>0</v>
      </c>
      <c r="BA77" s="212">
        <f>IF(A77&lt;intermediates!$B$29,data!$BA$74,IF(intermediates!$B$23&gt;data!$BA$74,MIN(intermediates!$B$23,data!$BA$74+(intermediates!$B$23-data!$BA$74)*((data!A77-intermediates!$B$29)/(intermediates!$B$31-intermediates!$B$29))),MAX(intermediates!$B$23,data!$BA$74+(intermediates!$B$23-data!$BA$74)*((data!A77-intermediates!$B$29)/(intermediates!$B$31-intermediates!$B$29)))))</f>
        <v>1.7091762365712231E-2</v>
      </c>
      <c r="BB77" s="212">
        <f t="shared" si="147"/>
        <v>248.78016586908942</v>
      </c>
      <c r="BC77" s="212">
        <f t="shared" si="166"/>
        <v>248.78016586908942</v>
      </c>
      <c r="BD77" s="212">
        <f t="shared" si="167"/>
        <v>0</v>
      </c>
      <c r="BE77" s="214">
        <f>MAX(0,MIN(1,(data!A77-intermediates!$B$29)/(intermediates!$B$31-intermediates!$B$29)))*((intermediates!$B$38*L77)-$BE$69*1000000000)/1000000000+$BE$69</f>
        <v>222.09891098992358</v>
      </c>
      <c r="BF77" s="214">
        <f t="shared" si="99"/>
        <v>222.09891098992358</v>
      </c>
      <c r="BG77" s="214">
        <f t="shared" si="168"/>
        <v>0</v>
      </c>
      <c r="BH77" s="214">
        <f>BD77*conversions!$C$2/conversions!$C$17+BG77*conversions!$C$6/conversions!$C$10</f>
        <v>0</v>
      </c>
      <c r="BI77" s="214">
        <f>BH77*intermediates!$B$41*conversions!$C$11/(conversions!$C$2*conversions!$C$6*intermediates!$B$42)</f>
        <v>0</v>
      </c>
      <c r="BJ77" s="214">
        <f>BH77*intermediates!$B$43/(conversions!$C$1*intermediates!$B$42)</f>
        <v>0</v>
      </c>
      <c r="BK77" s="214">
        <f t="shared" si="148"/>
        <v>0</v>
      </c>
      <c r="BL77" s="214">
        <f t="shared" si="149"/>
        <v>14555.559605027453</v>
      </c>
      <c r="BM77" s="214">
        <f t="shared" si="150"/>
        <v>13287.18376236282</v>
      </c>
      <c r="BN77" s="214">
        <f>IF(A77&lt;intermediates!$B$29,MIN(BO76+intermediates!$B$33*AN76),MIN(BO76*intermediates!$B$35,BO76+intermediates!$B$37*AN76))</f>
        <v>652.8727427612157</v>
      </c>
      <c r="BO77" s="212">
        <f>IF(A77&lt;intermediates!$B$29,MIN(BM77,BO76+intermediates!$B$33*AN76),MIN(BM77,BO76*intermediates!$B$35,BO76+intermediates!$B$37*AN76))</f>
        <v>652.8727427612157</v>
      </c>
      <c r="BP77" s="214">
        <f t="shared" si="151"/>
        <v>0</v>
      </c>
      <c r="BQ77" s="214">
        <f t="shared" si="152"/>
        <v>12634.311019601604</v>
      </c>
      <c r="BR77" s="212" t="str">
        <f t="shared" si="87"/>
        <v/>
      </c>
      <c r="BS77" s="212">
        <f>BP77*conversions!$C$1*intermediates!$B$42/intermediates!$B$43</f>
        <v>0</v>
      </c>
      <c r="BT77" s="214">
        <f>MIN(BT76+BS77,intermediates!$B$27*1000)</f>
        <v>0</v>
      </c>
      <c r="BU77" s="219" t="str">
        <f>IF(AND(BT77=intermediates!$B$27*1000,BT76&lt;&gt;intermediates!$B$27*1000),A77,"")</f>
        <v/>
      </c>
      <c r="BV77" s="212">
        <f>BT77*intermediates!$B$43/(conversions!$C$1*intermediates!$B$42)</f>
        <v>0</v>
      </c>
      <c r="BW77" s="214">
        <f t="shared" si="153"/>
        <v>14555.559605027453</v>
      </c>
      <c r="BX77" s="214">
        <f t="shared" si="154"/>
        <v>652.8727427612157</v>
      </c>
      <c r="BY77" s="227">
        <f>IF(OR(BQ77&gt;0,BT77&lt;&gt;intermediates!$B$27*1000),MAX(0,(BX77-BX76)/AM76),0.000000000001)</f>
        <v>7.5976999779113963E-3</v>
      </c>
      <c r="BZ77" s="322">
        <f>BH77*intermediates!$B$49*1000000</f>
        <v>0</v>
      </c>
      <c r="CA77" s="322">
        <f>BI77*conversions!$C$1*1000000*intermediates!$B$50</f>
        <v>0</v>
      </c>
      <c r="CB77" s="322">
        <f>BT77*1000000*intermediates!$B$49</f>
        <v>0</v>
      </c>
      <c r="CC77" s="214">
        <f>BW77*conversions!$C$1*1000000/L77</f>
        <v>21554.955076065922</v>
      </c>
      <c r="CD77" s="173">
        <f t="shared" si="100"/>
        <v>2021</v>
      </c>
      <c r="CE77" s="173"/>
      <c r="CF77" s="173"/>
      <c r="CG77" s="173"/>
      <c r="CH77" s="173"/>
      <c r="CI77" s="173">
        <f t="shared" si="155"/>
        <v>12634.311019601604</v>
      </c>
      <c r="CJ77" s="173">
        <f t="shared" si="156"/>
        <v>1019.5956767955438</v>
      </c>
      <c r="CK77" s="173">
        <f t="shared" si="157"/>
        <v>248.78016586908942</v>
      </c>
      <c r="CL77" s="173">
        <f t="shared" si="158"/>
        <v>0</v>
      </c>
      <c r="CM77" s="173"/>
      <c r="CN77" s="173"/>
      <c r="CO77" s="329">
        <f t="shared" si="169"/>
        <v>652.8727427612157</v>
      </c>
      <c r="CP77" s="174">
        <f t="shared" si="159"/>
        <v>43.442480675040819</v>
      </c>
      <c r="CQ77" s="228">
        <f t="shared" si="160"/>
        <v>0</v>
      </c>
      <c r="CR77" s="228">
        <f t="shared" si="170"/>
        <v>0</v>
      </c>
      <c r="CS77" s="214">
        <f t="shared" ca="1" si="161"/>
        <v>43.005706970420448</v>
      </c>
      <c r="CT77" s="190">
        <f t="shared" ca="1" si="162"/>
        <v>5.458804197253885</v>
      </c>
      <c r="CU77" s="190">
        <f t="shared" ca="1" si="95"/>
        <v>43.005706970420448</v>
      </c>
      <c r="CV77" s="198">
        <f t="shared" ref="CV77:CV138" si="174">CV76+CP77</f>
        <v>2401.2864815048929</v>
      </c>
      <c r="CW77" s="198">
        <f t="shared" ca="1" si="171"/>
        <v>2401.2864815048929</v>
      </c>
      <c r="CX77" s="198">
        <f t="shared" ca="1" si="172"/>
        <v>2399.7074788220034</v>
      </c>
      <c r="CY77" s="198">
        <f t="shared" ca="1" si="173"/>
        <v>-1.5790026828898247</v>
      </c>
      <c r="CZ77" s="199">
        <f ca="1">IF(CX77&lt;intermediates!$B$55,intermediates!$B$56+(CX77-intermediates!$B$55)*intermediates!$B$53,intermediates!$B$56+(data!CX77-intermediates!$B$55)*intermediates!$B$58)</f>
        <v>1.2740519576457701</v>
      </c>
      <c r="DG77" s="201">
        <f>IF(A77&gt;MAX(intermediates!B$31,intermediates!$B$32),DG76,DG76+intermediates!$B$60*DG$73)</f>
        <v>15907091295000</v>
      </c>
      <c r="DH77" s="201">
        <f>IF(A77&gt;MAX(intermediates!B$31,intermediates!$B$32),DH76,DH76+intermediates!$B$61*DH$73)</f>
        <v>32352519202500</v>
      </c>
      <c r="DI77" s="201">
        <f>IF(A77&gt;MAX(intermediates!B$31,intermediates!$B$32),DI76,DI76+intermediates!$B$62*DI$73)</f>
        <v>39891569792000</v>
      </c>
      <c r="DJ77" s="221"/>
      <c r="EE77" s="218"/>
      <c r="EF77" s="212">
        <f>$EF$69+intermediates!$B$90*(A77-2013)*intermediates!$B$92+intermediates!$B$91*intermediates!$B$92*(A77-2013)^2</f>
        <v>2849.9598085492185</v>
      </c>
      <c r="EH77" s="212">
        <f>IF(A77&lt;intermediates!$B$29,data!EH76,IF(A77&lt;intermediates!$B$31,data!$EH$69+(intermediates!$B$93-data!$EH$69)*(data!A77-intermediates!$B$29)/(intermediates!$B$31-intermediates!$B$29),intermediates!$B$93))</f>
        <v>0.17488936755242579</v>
      </c>
      <c r="EI77" s="212">
        <f t="shared" si="128"/>
        <v>0.17488936755242579</v>
      </c>
      <c r="EN77" s="218"/>
      <c r="EO77" s="212">
        <f t="shared" si="129"/>
        <v>2351.5321400822131</v>
      </c>
      <c r="EQ77" s="212">
        <f t="shared" si="130"/>
        <v>498.42766846700533</v>
      </c>
      <c r="ET77" s="214">
        <f>IF(A77&lt;intermediates!$B$29,ET76+intermediates!$B$63,ET76+intermediates!$B$63*intermediates!$B$67)</f>
        <v>865.55627786577304</v>
      </c>
      <c r="EU77" s="215">
        <f t="shared" si="131"/>
        <v>865.55627786577304</v>
      </c>
      <c r="EV77" s="216">
        <f>data!EU77*conversions!$C$13</f>
        <v>1.0066419511578941</v>
      </c>
      <c r="EX77" s="212">
        <f>intermediates!$B$64+intermediates!$B$64*(EXP(-(data!A77-intermediates!$B$66)/intermediates!$B$65)-1)</f>
        <v>1.8903163306579238E-2</v>
      </c>
      <c r="EY77" s="217">
        <f>IF(A77&lt;intermediates!$B$29,data!EX77,data!EY76+(data!EX77-data!EX76)*intermediates!$B$68)</f>
        <v>1.8903163306579238E-2</v>
      </c>
      <c r="EZ77" s="217">
        <f t="shared" si="132"/>
        <v>1.8903163306579238E-2</v>
      </c>
      <c r="FB77" s="212">
        <f>intermediates!$B$94+intermediates!$B$95+(intermediates!$B$95*(EXP(-(data!A77-intermediates!$B$97)/intermediates!$B$96)-1))</f>
        <v>1.7822836734669376</v>
      </c>
      <c r="FC77" s="217">
        <f>IF(A77&lt;intermediates!$B$29,data!FB77,data!FC76+(data!FB77-data!FB76)*intermediates!$B$68)</f>
        <v>1.7822836734669376</v>
      </c>
      <c r="FD77" s="212">
        <f t="shared" si="133"/>
        <v>1.7822836734669376</v>
      </c>
      <c r="FF77" s="184">
        <f>intermediates!$B$98+intermediates!$B$99*EXP(-(A77-intermediates!$B$101)/intermediates!$B$100)</f>
        <v>0.86889887417023093</v>
      </c>
      <c r="FG77" s="184">
        <f t="shared" si="101"/>
        <v>0.86889887417023093</v>
      </c>
      <c r="FI77" s="184">
        <f>intermediates!$B$102+intermediates!$B$103*EXP(-(A77-intermediates!$B$105)/intermediates!$B$104)</f>
        <v>2.3410509468629749E-2</v>
      </c>
      <c r="FJ77" s="184">
        <f t="shared" si="134"/>
        <v>2.3410509468629749E-2</v>
      </c>
      <c r="FL77" s="184">
        <f>intermediates!$B$106</f>
        <v>4.5616870531049965E-2</v>
      </c>
      <c r="FM77" s="184">
        <f t="shared" si="135"/>
        <v>4.5616870531049965E-2</v>
      </c>
      <c r="FN77" s="218">
        <f>IF(A77&lt;intermediates!$B$29,0,IF(A77&lt;intermediates!$B$31,(data!A77-intermediates!$B$29)/(intermediates!$B$31-intermediates!$B$29),1))</f>
        <v>0</v>
      </c>
      <c r="FO77" s="218">
        <f t="shared" si="81"/>
        <v>1433255383549235.8</v>
      </c>
      <c r="FP77" s="218">
        <f t="shared" si="21"/>
        <v>1649507700096799.3</v>
      </c>
      <c r="FQ77" s="218">
        <f t="shared" si="22"/>
        <v>31180913430389.727</v>
      </c>
      <c r="FR77" s="218">
        <f t="shared" si="23"/>
        <v>2939890643140523</v>
      </c>
      <c r="FS77" s="218">
        <f t="shared" si="24"/>
        <v>3396533210283.5596</v>
      </c>
      <c r="FT77" s="218">
        <f>intermediates!$B$69*data!EU77/intermediates!$B$71</f>
        <v>2.2031296377034</v>
      </c>
      <c r="FU77" s="218">
        <f>BC77*conversions!$C$1*1000000</f>
        <v>2902435268472.7095</v>
      </c>
      <c r="FV77" s="218">
        <f t="shared" si="41"/>
        <v>1317414653591.7351</v>
      </c>
      <c r="FX77" s="221"/>
      <c r="FY77" s="221"/>
      <c r="FZ77" s="221"/>
      <c r="GA77" s="218">
        <f t="shared" si="102"/>
        <v>222.09891098992358</v>
      </c>
      <c r="GB77" s="218">
        <f>GA77*1000000*10000*intermediates!$B$71/(intermediates!$B$72*data!EU77)</f>
        <v>1260133012539.4104</v>
      </c>
      <c r="GC77" s="218">
        <f t="shared" si="83"/>
        <v>7812266453132.3721</v>
      </c>
      <c r="GD77" s="218">
        <f t="shared" si="144"/>
        <v>13786347329547.078</v>
      </c>
      <c r="GE77" s="218">
        <f t="shared" si="30"/>
        <v>14808542199170.514</v>
      </c>
      <c r="GF77" s="218">
        <f t="shared" si="31"/>
        <v>346675517370.28455</v>
      </c>
      <c r="GG77" s="218">
        <f t="shared" si="136"/>
        <v>675519352253.15125</v>
      </c>
      <c r="GH77" s="218">
        <f t="shared" si="103"/>
        <v>9468144205048.4629</v>
      </c>
      <c r="GI77" s="218">
        <f t="shared" si="145"/>
        <v>1740655458367.4688</v>
      </c>
      <c r="GJ77" s="218">
        <f>ET77*intermediates!$B$73/intermediates!$B$71</f>
        <v>3.3046944565550995</v>
      </c>
      <c r="GK77" s="218">
        <f>CL77*conversions!$C$1*1000000/data!GJ77</f>
        <v>0</v>
      </c>
      <c r="GL77" s="218">
        <f>MIN(1,FN77)*(intermediates!$B$75-data!$GL$69)+data!$GL$69</f>
        <v>4.023535335695938E-2</v>
      </c>
      <c r="GM77" s="218">
        <f>GL77*intermediates!$B$74*(FS77+GC77+GK77+GG77+GF77+GB77+FV77)</f>
        <v>89374039212.760483</v>
      </c>
      <c r="GN77" s="218">
        <f>MIN(1,FN77)*intermediates!$B$76</f>
        <v>0</v>
      </c>
      <c r="GO77" s="218">
        <f t="shared" si="137"/>
        <v>0</v>
      </c>
      <c r="GP77" s="218">
        <f>IF(A77&gt;intermediates!$B$29,MIN(1,(A77-intermediates!$B$29)/(intermediates!$B$31-intermediates!$B$29))*intermediates!$B$77,0)</f>
        <v>0</v>
      </c>
      <c r="GQ77" s="218">
        <f>IF(AND(A77&gt;intermediates!$B$29+intermediates!$B$30,data!GP77&lt;intermediates!$B$77),1,0)</f>
        <v>0</v>
      </c>
      <c r="GR77" s="218">
        <f t="shared" si="104"/>
        <v>0</v>
      </c>
      <c r="GS77" s="218">
        <f t="shared" si="105"/>
        <v>46078829668773</v>
      </c>
      <c r="GT77" s="218">
        <f t="shared" si="97"/>
        <v>88151180289500</v>
      </c>
      <c r="GU77" s="218">
        <f t="shared" si="106"/>
        <v>39891569792000</v>
      </c>
      <c r="GV77" s="218">
        <f t="shared" si="107"/>
        <v>14897916238383.273</v>
      </c>
      <c r="GW77" s="218">
        <f t="shared" si="108"/>
        <v>2180780828727</v>
      </c>
      <c r="GX77" s="218">
        <f>MIN(intermediates!$B$88,FN77*intermediates!$B$87*GO77)</f>
        <v>0</v>
      </c>
      <c r="GY77" s="218">
        <f t="shared" si="109"/>
        <v>0</v>
      </c>
      <c r="GZ77" s="218">
        <f>MIN(intermediates!$B$88-GX77,intermediates!$B$87*data!GW77*FN77)</f>
        <v>0</v>
      </c>
      <c r="HA77" s="218">
        <f t="shared" si="138"/>
        <v>2180780828727</v>
      </c>
      <c r="HB77" s="218">
        <f t="shared" si="139"/>
        <v>0</v>
      </c>
      <c r="HC77" s="218">
        <f t="shared" si="110"/>
        <v>33361694259116.727</v>
      </c>
      <c r="HD77" s="218">
        <f>HC77*intermediates!$B$79/(10000*1000000000)</f>
        <v>2214.3559148731501</v>
      </c>
      <c r="HE77" s="218">
        <f>(GV77*intermediates!$B$80+GV77*GL77*intermediates!$B$82)/(10000*1000000000)</f>
        <v>451.96614895580541</v>
      </c>
      <c r="HF77" s="218">
        <f>GU77*intermediates!$B$78/(10000*1000000000)</f>
        <v>4017.0552454679423</v>
      </c>
      <c r="HG77" s="218">
        <f>HB77*intermediates!$B$81/(10000*1000000000)</f>
        <v>0</v>
      </c>
      <c r="HH77" s="218">
        <f t="shared" si="111"/>
        <v>0</v>
      </c>
      <c r="HI77" s="218">
        <f t="shared" si="112"/>
        <v>0</v>
      </c>
      <c r="HJ77" s="218">
        <f t="shared" si="113"/>
        <v>-2.2941918600577651</v>
      </c>
      <c r="HK77" s="218">
        <f ca="1">SUM(HJ77:INDIRECT(ADDRESS(MAX(CELL("row",HJ77)-intermediates!$B$83,69),CELL("col",HJ77))))/intermediates!$B$83+SUM(HH77:INDIRECT(ADDRESS(MAX(CELL("row",HH77)-intermediates!$B$84,69),CELL("col",HH77))))/intermediates!$B$84+SUM(HI77:INDIRECT(ADDRESS(MAX(CELL("row",HI77)-intermediates!$B$85,69),CELL("col",HI77))))/intermediates!$B$85</f>
        <v>0.4367737046203729</v>
      </c>
      <c r="HL77" s="218">
        <f t="shared" ca="1" si="163"/>
        <v>1.5790026828898247</v>
      </c>
      <c r="HM77" s="188">
        <f t="shared" si="114"/>
        <v>2021</v>
      </c>
      <c r="HQ77" s="185">
        <f t="shared" si="115"/>
        <v>1331.560646377058</v>
      </c>
      <c r="HR77" s="185">
        <f t="shared" si="116"/>
        <v>167.22219321953466</v>
      </c>
      <c r="HS77" s="185">
        <f t="shared" si="117"/>
        <v>159.95131489594169</v>
      </c>
      <c r="HT77" s="185">
        <f t="shared" si="118"/>
        <v>0</v>
      </c>
      <c r="HU77" s="185">
        <f t="shared" si="119"/>
        <v>11.344433442652472</v>
      </c>
      <c r="HV77" s="185">
        <f t="shared" si="120"/>
        <v>0</v>
      </c>
      <c r="HW77" s="185">
        <f t="shared" si="121"/>
        <v>0</v>
      </c>
      <c r="HX77" s="185">
        <f t="shared" si="122"/>
        <v>220.9450324498718</v>
      </c>
      <c r="HY77" s="185">
        <f t="shared" si="123"/>
        <v>3957.858458764395</v>
      </c>
      <c r="HZ77" s="185">
        <f t="shared" si="140"/>
        <v>1670.0785879351868</v>
      </c>
      <c r="IA77" s="185">
        <f t="shared" si="141"/>
        <v>5848.8820791494536</v>
      </c>
      <c r="IB77" s="185">
        <f t="shared" si="124"/>
        <v>2131.1688839686094</v>
      </c>
      <c r="IC77" s="185">
        <f t="shared" si="71"/>
        <v>6125.6931440003045</v>
      </c>
      <c r="ID77" s="185">
        <f t="shared" si="125"/>
        <v>5063.5202617502036</v>
      </c>
      <c r="IE77" s="184">
        <f t="shared" si="142"/>
        <v>-0.87994405586224245</v>
      </c>
      <c r="IF77" s="184">
        <f t="shared" si="143"/>
        <v>-5.4667711501399485E-2</v>
      </c>
    </row>
    <row r="78" spans="1:240" x14ac:dyDescent="0.3">
      <c r="A78" s="211">
        <v>2022</v>
      </c>
      <c r="E78" s="207">
        <v>7932536.3499999996</v>
      </c>
      <c r="F78" s="207">
        <v>7953952.5769999996</v>
      </c>
      <c r="G78" s="207">
        <v>7974797.2180000003</v>
      </c>
      <c r="I78" s="207">
        <f t="shared" si="164"/>
        <v>7932536350</v>
      </c>
      <c r="J78" s="207">
        <f t="shared" si="164"/>
        <v>7953952577</v>
      </c>
      <c r="K78" s="207">
        <f t="shared" si="164"/>
        <v>7974797218</v>
      </c>
      <c r="L78" s="187">
        <f>IF(intermediates!$B$4&gt;=2,(intermediates!$B$4-2)*K78+(1-(intermediates!$B$4-2))*J78,(intermediates!$B$4-1)*J78+(1-(intermediates!$B$4-1))*I78)</f>
        <v>7961649657.823</v>
      </c>
      <c r="AD78" s="215"/>
      <c r="AE78" s="214"/>
      <c r="AF78" s="219"/>
      <c r="AG78" s="212"/>
      <c r="AH78" s="212"/>
      <c r="AI78" s="214"/>
      <c r="AJ78" s="184">
        <f>IF(intermediates!$B$46=0,$AJ$74+(intermediates!$B$15-$AJ$74)*MIN(1,(data!A78-data!$A$74)/(intermediates!$B$32-data!$A$74)),IF(A78&lt;2021,$AJ$74+(intermediates!$B$15-$AJ$74)*MIN(1,(data!A78-data!$A$74)/(intermediates!$B$32-data!$A$74)),intermediates!$B$47+(intermediates!$B$15-intermediates!$B$47)*MIN(1,(data!A78-$A$77)/(intermediates!$B$32-$A$77))))</f>
        <v>21674.241707166617</v>
      </c>
      <c r="AK78" s="192">
        <f>AJ78</f>
        <v>21674.241707166617</v>
      </c>
      <c r="AL78" s="192">
        <f t="shared" si="85"/>
        <v>172562719071436.09</v>
      </c>
      <c r="AM78" s="192">
        <f>data!AL78/(1000000*conversions!$C$1)</f>
        <v>14791.090206123095</v>
      </c>
      <c r="AN78" s="192">
        <f>IF(intermediates!$B$13=1,($AJ$74+(27400-$AJ$74)*MIN(1,(data!A78-data!$A$74)/(intermediates!$B$32-data!$A$74)))*L78/(1000000*conversions!$C$1),data!AM78)</f>
        <v>14791.090206123095</v>
      </c>
      <c r="AV78" s="214">
        <f>IF(A78&lt;intermediates!$B$29,0,IF(A78&lt;intermediates!$B$31,(data!A78-intermediates!$B$29)*intermediates!$B$26/(intermediates!$B$31-intermediates!$B$29),intermediates!$B$26))</f>
        <v>0.33333333333333331</v>
      </c>
      <c r="AW78" s="212">
        <f>MIN(AW77+intermediates!$B$16,intermediates!$B$17*data!$AW$74)</f>
        <v>1043.1959379827531</v>
      </c>
      <c r="AX78" s="212">
        <f>AV78*1000/conversions!$C$16/intermediates!$B$40</f>
        <v>272.90194989354274</v>
      </c>
      <c r="AY78" s="212">
        <f>AX78*(1-intermediates!$B$39)*intermediates!$B$28/(conversions!$C$2)</f>
        <v>71.434334576529537</v>
      </c>
      <c r="AZ78" s="213">
        <f>IF(A78&lt;intermediates!$B$29,0,MIN(intermediates!$B$25,intermediates!$B$25*(A78-intermediates!$B$29)/(intermediates!$B$31-intermediates!$B$29)))</f>
        <v>0</v>
      </c>
      <c r="BA78" s="212">
        <f>IF(A78&lt;intermediates!$B$29,data!$BA$74,IF(intermediates!$B$23&gt;data!$BA$74,MIN(intermediates!$B$23,data!$BA$74+(intermediates!$B$23-data!$BA$74)*((data!A78-intermediates!$B$29)/(intermediates!$B$31-intermediates!$B$29))),MAX(intermediates!$B$23,data!$BA$74+(intermediates!$B$23-data!$BA$74)*((data!A78-intermediates!$B$29)/(intermediates!$B$31-intermediates!$B$29)))))</f>
        <v>1.9188703620188489E-2</v>
      </c>
      <c r="BB78" s="212">
        <f t="shared" si="147"/>
        <v>283.82184618476873</v>
      </c>
      <c r="BC78" s="212">
        <f t="shared" si="166"/>
        <v>283.82184618476873</v>
      </c>
      <c r="BD78" s="212">
        <f t="shared" si="167"/>
        <v>0</v>
      </c>
      <c r="BE78" s="214">
        <f>MAX(0,MIN(1,(data!A78-intermediates!$B$29)/(intermediates!$B$31-intermediates!$B$29)))*((intermediates!$B$38*L78)-$BE$69*1000000000)/1000000000+$BE$69</f>
        <v>247.86915419785529</v>
      </c>
      <c r="BF78" s="214">
        <f t="shared" si="99"/>
        <v>247.86915419785529</v>
      </c>
      <c r="BG78" s="214">
        <f t="shared" si="168"/>
        <v>0</v>
      </c>
      <c r="BH78" s="214">
        <f>BD78*conversions!$C$2/conversions!$C$17+BG78*conversions!$C$6/conversions!$C$10</f>
        <v>0</v>
      </c>
      <c r="BI78" s="214">
        <f>BH78*intermediates!$B$41*conversions!$C$11/(conversions!$C$2*conversions!$C$6*intermediates!$B$42)</f>
        <v>0</v>
      </c>
      <c r="BJ78" s="214">
        <f>BH78*intermediates!$B$43/(conversions!$C$1*intermediates!$B$42)</f>
        <v>0</v>
      </c>
      <c r="BK78" s="214">
        <f t="shared" si="148"/>
        <v>0</v>
      </c>
      <c r="BL78" s="214">
        <f t="shared" si="149"/>
        <v>14791.090206123095</v>
      </c>
      <c r="BM78" s="214">
        <f t="shared" si="150"/>
        <v>13392.638087379044</v>
      </c>
      <c r="BN78" s="214">
        <f>IF(A78&lt;intermediates!$B$29,MIN(BO77+intermediates!$B$33*AN77),MIN(BO77*intermediates!$B$35,BO77+intermediates!$B$37*AN77))</f>
        <v>783.447291313459</v>
      </c>
      <c r="BO78" s="212">
        <f>IF(A78&lt;intermediates!$B$29,MIN(BM78,BO77+intermediates!$B$33*AN77),MIN(BM78,BO77*intermediates!$B$35,BO77+intermediates!$B$37*AN77))</f>
        <v>783.447291313459</v>
      </c>
      <c r="BP78" s="214">
        <f t="shared" si="151"/>
        <v>0</v>
      </c>
      <c r="BQ78" s="214">
        <f t="shared" si="152"/>
        <v>12609.190796065584</v>
      </c>
      <c r="BR78" s="212" t="str">
        <f t="shared" si="87"/>
        <v/>
      </c>
      <c r="BS78" s="212">
        <f>BP78*conversions!$C$1*intermediates!$B$42/intermediates!$B$43</f>
        <v>0</v>
      </c>
      <c r="BT78" s="214">
        <f>MIN(BT77+BS78,intermediates!$B$27*1000)</f>
        <v>0</v>
      </c>
      <c r="BU78" s="219" t="str">
        <f>IF(AND(BT78=intermediates!$B$27*1000,BT77&lt;&gt;intermediates!$B$27*1000),A78,"")</f>
        <v/>
      </c>
      <c r="BV78" s="212">
        <f>BT78*intermediates!$B$43/(conversions!$C$1*intermediates!$B$42)</f>
        <v>0</v>
      </c>
      <c r="BW78" s="214">
        <f t="shared" si="153"/>
        <v>14791.090206123095</v>
      </c>
      <c r="BX78" s="214">
        <f t="shared" si="154"/>
        <v>783.447291313459</v>
      </c>
      <c r="BY78" s="227">
        <f>IF(OR(BQ78&gt;0,BT78&lt;&gt;intermediates!$B$27*1000),MAX(0,(BX78-BX77)/AM77),0.000000000001)</f>
        <v>8.970768015483457E-3</v>
      </c>
      <c r="BZ78" s="322">
        <f>BH78*intermediates!$B$49*1000000</f>
        <v>0</v>
      </c>
      <c r="CA78" s="322">
        <f>BI78*conversions!$C$1*1000000*intermediates!$B$50</f>
        <v>0</v>
      </c>
      <c r="CB78" s="322">
        <f>BT78*1000000*intermediates!$B$49</f>
        <v>0</v>
      </c>
      <c r="CC78" s="214">
        <f>BW78*conversions!$C$1*1000000/L78</f>
        <v>21674.241707166617</v>
      </c>
      <c r="CD78" s="173">
        <f t="shared" si="100"/>
        <v>2022</v>
      </c>
      <c r="CE78" s="173"/>
      <c r="CF78" s="173"/>
      <c r="CG78" s="173"/>
      <c r="CH78" s="173"/>
      <c r="CI78" s="173">
        <f t="shared" si="155"/>
        <v>12609.190796065584</v>
      </c>
      <c r="CJ78" s="173">
        <f t="shared" si="156"/>
        <v>1043.1959379827531</v>
      </c>
      <c r="CK78" s="173">
        <f t="shared" si="157"/>
        <v>283.82184618476873</v>
      </c>
      <c r="CL78" s="173">
        <f t="shared" si="158"/>
        <v>71.434334576529537</v>
      </c>
      <c r="CM78" s="173"/>
      <c r="CN78" s="173"/>
      <c r="CO78" s="329">
        <f t="shared" si="169"/>
        <v>783.447291313459</v>
      </c>
      <c r="CP78" s="174">
        <f t="shared" si="159"/>
        <v>43.35610597492277</v>
      </c>
      <c r="CQ78" s="228">
        <f t="shared" si="160"/>
        <v>0.33333333333333331</v>
      </c>
      <c r="CR78" s="228">
        <f t="shared" si="170"/>
        <v>0.33333333333333331</v>
      </c>
      <c r="CS78" s="214">
        <f t="shared" ca="1" si="161"/>
        <v>43.664545317241085</v>
      </c>
      <c r="CT78" s="190">
        <f t="shared" ca="1" si="162"/>
        <v>5.4843590454067455</v>
      </c>
      <c r="CU78" s="190">
        <f t="shared" ca="1" si="95"/>
        <v>43.664545317241085</v>
      </c>
      <c r="CV78" s="198">
        <f t="shared" si="174"/>
        <v>2444.6425874798156</v>
      </c>
      <c r="CW78" s="198">
        <f t="shared" ca="1" si="171"/>
        <v>2445.2843601554673</v>
      </c>
      <c r="CX78" s="198">
        <f t="shared" ca="1" si="172"/>
        <v>2443.3720241392443</v>
      </c>
      <c r="CY78" s="198">
        <f t="shared" ca="1" si="173"/>
        <v>-1.912336016223158</v>
      </c>
      <c r="CZ78" s="199">
        <f ca="1">IF(CX78&lt;intermediates!$B$55,intermediates!$B$56+(CX78-intermediates!$B$55)*intermediates!$B$53,intermediates!$B$56+(data!CX78-intermediates!$B$55)*intermediates!$B$58)</f>
        <v>1.2977967241897779</v>
      </c>
      <c r="DG78" s="201">
        <f>IF(A78&gt;MAX(intermediates!B$31,intermediates!$B$32),DG77,DG77+intermediates!$B$60*DG$73)</f>
        <v>15980522236250</v>
      </c>
      <c r="DH78" s="201">
        <f>IF(A78&gt;MAX(intermediates!B$31,intermediates!$B$32),DH77,DH77+intermediates!$B$61*DH$73)</f>
        <v>32274591919375</v>
      </c>
      <c r="DI78" s="201">
        <f>IF(A78&gt;MAX(intermediates!B$31,intermediates!$B$32),DI77,DI77+intermediates!$B$62*DI$73)</f>
        <v>39866628185000</v>
      </c>
      <c r="DJ78" s="221"/>
      <c r="EE78" s="218"/>
      <c r="EF78" s="212">
        <f>$EF$69+intermediates!$B$90*(A78-2013)*intermediates!$B$92+intermediates!$B$91*intermediates!$B$92*(A78-2013)^2</f>
        <v>2857.2390985492189</v>
      </c>
      <c r="EH78" s="212">
        <f>IF(A78&lt;intermediates!$B$29,data!EH77,IF(A78&lt;intermediates!$B$31,data!$EH$69+(intermediates!$B$93-data!$EH$69)*(data!A78-intermediates!$B$29)/(intermediates!$B$31-intermediates!$B$29),intermediates!$B$93))</f>
        <v>0.16990045941570842</v>
      </c>
      <c r="EI78" s="212">
        <f t="shared" si="128"/>
        <v>0.16990045941570842</v>
      </c>
      <c r="EN78" s="218"/>
      <c r="EO78" s="212">
        <f t="shared" si="129"/>
        <v>2371.792863045182</v>
      </c>
      <c r="EQ78" s="212">
        <f t="shared" si="130"/>
        <v>485.44623550403685</v>
      </c>
      <c r="ET78" s="214">
        <f>IF(A78&lt;intermediates!$B$29,ET77+intermediates!$B$63,ET77+intermediates!$B$63*intermediates!$B$67)</f>
        <v>875.53186725721582</v>
      </c>
      <c r="EU78" s="215">
        <f t="shared" si="131"/>
        <v>875.53186725721582</v>
      </c>
      <c r="EV78" s="216">
        <f>data!EU78*conversions!$C$13</f>
        <v>1.018243561620142</v>
      </c>
      <c r="EX78" s="212">
        <f>intermediates!$B$64+intermediates!$B$64*(EXP(-(data!A78-intermediates!$B$66)/intermediates!$B$65)-1)</f>
        <v>1.8551744304340641E-2</v>
      </c>
      <c r="EY78" s="217">
        <f>IF(A78&lt;intermediates!$B$29,data!EX78,data!EY77+(data!EX78-data!EX77)*intermediates!$B$68)</f>
        <v>1.8551744304340641E-2</v>
      </c>
      <c r="EZ78" s="217">
        <f t="shared" si="132"/>
        <v>1.8551744304340641E-2</v>
      </c>
      <c r="FB78" s="212">
        <f>intermediates!$B$94+intermediates!$B$95+(intermediates!$B$95*(EXP(-(data!A78-intermediates!$B$97)/intermediates!$B$96)-1))</f>
        <v>1.7745856682640422</v>
      </c>
      <c r="FC78" s="217">
        <f>IF(A78&lt;intermediates!$B$29,data!FB78,data!FC77+(data!FB78-data!FB77)*intermediates!$B$68)</f>
        <v>1.7745856682640422</v>
      </c>
      <c r="FD78" s="212">
        <f t="shared" si="133"/>
        <v>1.7745856682640422</v>
      </c>
      <c r="FF78" s="184">
        <f>intermediates!$B$98+intermediates!$B$99*EXP(-(A78-intermediates!$B$101)/intermediates!$B$100)</f>
        <v>0.86979819764655375</v>
      </c>
      <c r="FG78" s="184">
        <f t="shared" si="101"/>
        <v>0.86979819764655375</v>
      </c>
      <c r="FI78" s="184">
        <f>intermediates!$B$102+intermediates!$B$103*EXP(-(A78-intermediates!$B$105)/intermediates!$B$104)</f>
        <v>2.3127142597134345E-2</v>
      </c>
      <c r="FJ78" s="184">
        <f t="shared" si="134"/>
        <v>2.3127142597134345E-2</v>
      </c>
      <c r="FL78" s="184">
        <f>intermediates!$B$106</f>
        <v>4.5616870531049965E-2</v>
      </c>
      <c r="FM78" s="184">
        <f t="shared" si="135"/>
        <v>4.5616870531049965E-2</v>
      </c>
      <c r="FN78" s="218">
        <f>IF(A78&lt;intermediates!$B$29,0,IF(A78&lt;intermediates!$B$31,(data!A78-intermediates!$B$29)/(intermediates!$B$31-intermediates!$B$29),1))</f>
        <v>3.3333333333333333E-2</v>
      </c>
      <c r="FO78" s="218">
        <f t="shared" si="81"/>
        <v>1410707791999145</v>
      </c>
      <c r="FP78" s="218">
        <f t="shared" si="21"/>
        <v>1621879415036902.8</v>
      </c>
      <c r="FQ78" s="218">
        <f t="shared" si="22"/>
        <v>30088692200238.191</v>
      </c>
      <c r="FR78" s="218">
        <f t="shared" si="23"/>
        <v>2878163965576956</v>
      </c>
      <c r="FS78" s="218">
        <f t="shared" si="24"/>
        <v>3287332047197.0923</v>
      </c>
      <c r="FT78" s="218">
        <f>intermediates!$B$69*data!EU78/intermediates!$B$71</f>
        <v>2.2285208424163248</v>
      </c>
      <c r="FU78" s="218">
        <f>BC78*conversions!$C$1*1000000</f>
        <v>3311254872155.6353</v>
      </c>
      <c r="FV78" s="218">
        <f t="shared" si="41"/>
        <v>1485853221173.0769</v>
      </c>
      <c r="FX78" s="221"/>
      <c r="FY78" s="221"/>
      <c r="FZ78" s="221"/>
      <c r="GA78" s="218">
        <f t="shared" si="102"/>
        <v>247.86915419785529</v>
      </c>
      <c r="GB78" s="218">
        <f>GA78*1000000*10000*intermediates!$B$71/(intermediates!$B$72*data!EU78)</f>
        <v>1390323289107.6389</v>
      </c>
      <c r="GC78" s="218">
        <f t="shared" si="83"/>
        <v>7872283531964.499</v>
      </c>
      <c r="GD78" s="218">
        <f t="shared" si="144"/>
        <v>14035792089442.307</v>
      </c>
      <c r="GE78" s="218">
        <f t="shared" si="30"/>
        <v>15071894610406.717</v>
      </c>
      <c r="GF78" s="218">
        <f t="shared" si="31"/>
        <v>348569855863.85675</v>
      </c>
      <c r="GG78" s="218">
        <f t="shared" si="136"/>
        <v>687532665100.55298</v>
      </c>
      <c r="GH78" s="218">
        <f t="shared" si="103"/>
        <v>9483541608062.2656</v>
      </c>
      <c r="GI78" s="218">
        <f t="shared" si="145"/>
        <v>1676073971099.3262</v>
      </c>
      <c r="GJ78" s="218">
        <f>ET78*intermediates!$B$73/intermediates!$B$71</f>
        <v>3.3427812636244871</v>
      </c>
      <c r="GK78" s="218">
        <f>CL78*conversions!$C$1*1000000/data!GJ78</f>
        <v>249313521984.94662</v>
      </c>
      <c r="GL78" s="218">
        <f>MIN(1,FN78)*(intermediates!$B$75-data!$GL$69)+data!$GL$69</f>
        <v>7.2227508245060731E-2</v>
      </c>
      <c r="GM78" s="218">
        <f>GL78*intermediates!$B$74*(FS78+GC78+GK78+GG78+GF78+GB78+FV78)</f>
        <v>165991903005.99158</v>
      </c>
      <c r="GN78" s="218">
        <f>MIN(1,FN78)*intermediates!$B$76</f>
        <v>4.0000000000000001E-3</v>
      </c>
      <c r="GO78" s="218">
        <f t="shared" si="137"/>
        <v>61948800141.590622</v>
      </c>
      <c r="GP78" s="218">
        <f>IF(A78&gt;intermediates!$B$29,MIN(1,(A78-intermediates!$B$29)/(intermediates!$B$31-intermediates!$B$29))*intermediates!$B$77,0)</f>
        <v>5.0000000000000001E-3</v>
      </c>
      <c r="GQ78" s="218">
        <f>IF(AND(A78&gt;intermediates!$B$29+intermediates!$B$30,data!GP78&lt;intermediates!$B$77),1,0)</f>
        <v>0</v>
      </c>
      <c r="GR78" s="218">
        <f t="shared" si="104"/>
        <v>241275570778.125</v>
      </c>
      <c r="GS78" s="218">
        <f t="shared" si="105"/>
        <v>45879116606555.57</v>
      </c>
      <c r="GT78" s="218">
        <f t="shared" si="97"/>
        <v>88121742340625</v>
      </c>
      <c r="GU78" s="218">
        <f t="shared" si="106"/>
        <v>40107903755778.125</v>
      </c>
      <c r="GV78" s="218">
        <f t="shared" si="107"/>
        <v>15487200035397.656</v>
      </c>
      <c r="GW78" s="218">
        <f t="shared" si="108"/>
        <v>2375997549069.4297</v>
      </c>
      <c r="GX78" s="218">
        <f>MIN(intermediates!$B$88,FN78*intermediates!$B$87*GO78)</f>
        <v>1032480002.3598437</v>
      </c>
      <c r="GY78" s="218">
        <f t="shared" si="109"/>
        <v>60916320139.230782</v>
      </c>
      <c r="GZ78" s="218">
        <f>MIN(intermediates!$B$88-GX78,intermediates!$B$87*data!GW78*FN78)</f>
        <v>39599959151.157158</v>
      </c>
      <c r="HA78" s="218">
        <f t="shared" si="138"/>
        <v>2336397589918.2725</v>
      </c>
      <c r="HB78" s="218">
        <f t="shared" si="139"/>
        <v>40632439153.516998</v>
      </c>
      <c r="HC78" s="218">
        <f t="shared" si="110"/>
        <v>32486006110295.695</v>
      </c>
      <c r="HD78" s="218">
        <f>HC78*intermediates!$B$79/(10000*1000000000)</f>
        <v>2156.232810666706</v>
      </c>
      <c r="HE78" s="218">
        <f>(GV78*intermediates!$B$80+GV78*GL78*intermediates!$B$82)/(10000*1000000000)</f>
        <v>473.42916863901979</v>
      </c>
      <c r="HF78" s="218">
        <f>GU78*intermediates!$B$78/(10000*1000000000)</f>
        <v>4038.8399355290007</v>
      </c>
      <c r="HG78" s="218">
        <f>HB78*intermediates!$B$81/(10000*1000000000)</f>
        <v>10.213512493157939</v>
      </c>
      <c r="HH78" s="218">
        <f t="shared" si="111"/>
        <v>21.784690061058427</v>
      </c>
      <c r="HI78" s="218">
        <f t="shared" si="112"/>
        <v>10.213512493157939</v>
      </c>
      <c r="HJ78" s="218">
        <f t="shared" si="113"/>
        <v>-36.660084523229784</v>
      </c>
      <c r="HK78" s="218">
        <f ca="1">SUM(HJ78:INDIRECT(ADDRESS(MAX(CELL("row",HJ78)-intermediates!$B$83,69),CELL("col",HJ78))))/intermediates!$B$83+SUM(HH78:INDIRECT(ADDRESS(MAX(CELL("row",HH78)-intermediates!$B$84,69),CELL("col",HH78))))/intermediates!$B$84+SUM(HI78:INDIRECT(ADDRESS(MAX(CELL("row",HI78)-intermediates!$B$85,69),CELL("col",HI78))))/intermediates!$B$85</f>
        <v>-0.6417726756516503</v>
      </c>
      <c r="HL78" s="218">
        <f t="shared" ca="1" si="163"/>
        <v>0.9372300072381744</v>
      </c>
      <c r="HM78" s="188">
        <f t="shared" si="114"/>
        <v>2022</v>
      </c>
      <c r="HQ78" s="185">
        <f t="shared" si="115"/>
        <v>1321.2895042034697</v>
      </c>
      <c r="HR78" s="185">
        <f t="shared" si="116"/>
        <v>186.6263004568531</v>
      </c>
      <c r="HS78" s="185">
        <f t="shared" si="117"/>
        <v>174.62753937452243</v>
      </c>
      <c r="HT78" s="185">
        <f t="shared" si="118"/>
        <v>31.31430453486167</v>
      </c>
      <c r="HU78" s="185">
        <f t="shared" si="119"/>
        <v>20.848933341708946</v>
      </c>
      <c r="HV78" s="185">
        <f t="shared" si="120"/>
        <v>7.7809000400715496</v>
      </c>
      <c r="HW78" s="185">
        <f t="shared" si="121"/>
        <v>30.304720899273828</v>
      </c>
      <c r="HX78" s="185">
        <f t="shared" si="122"/>
        <v>210.5184281064717</v>
      </c>
      <c r="HY78" s="185">
        <f t="shared" si="123"/>
        <v>3779.2032422167035</v>
      </c>
      <c r="HZ78" s="185">
        <f t="shared" si="140"/>
        <v>1772.7922028507617</v>
      </c>
      <c r="IA78" s="185">
        <f t="shared" si="141"/>
        <v>5762.5138731739371</v>
      </c>
      <c r="IB78" s="185">
        <f t="shared" si="124"/>
        <v>2141.0068696952467</v>
      </c>
      <c r="IC78" s="185">
        <f t="shared" ref="IC78:IC109" si="175">(DG78+DH78)/L78</f>
        <v>6060.9441798547659</v>
      </c>
      <c r="ID78" s="185">
        <f t="shared" si="125"/>
        <v>5007.332638133309</v>
      </c>
      <c r="IE78" s="184">
        <f t="shared" si="142"/>
        <v>-0.85637449853992331</v>
      </c>
      <c r="IF78" s="184">
        <f t="shared" si="143"/>
        <v>-5.9598658257319435E-2</v>
      </c>
    </row>
    <row r="79" spans="1:240" x14ac:dyDescent="0.3">
      <c r="A79" s="211">
        <v>2023</v>
      </c>
      <c r="E79" s="207">
        <v>7995991.1999999899</v>
      </c>
      <c r="F79" s="207">
        <v>8031800.3380000005</v>
      </c>
      <c r="G79" s="207">
        <v>8067252.2060000002</v>
      </c>
      <c r="I79" s="207">
        <f t="shared" si="164"/>
        <v>7995991199.9999895</v>
      </c>
      <c r="J79" s="207">
        <f t="shared" si="164"/>
        <v>8031800338</v>
      </c>
      <c r="K79" s="207">
        <f t="shared" si="164"/>
        <v>8067252206</v>
      </c>
      <c r="L79" s="187">
        <f>IF(intermediates!$B$4&gt;=2,(intermediates!$B$4-2)*K79+(1-(intermediates!$B$4-2))*J79,(intermediates!$B$4-1)*J79+(1-(intermediates!$B$4-1))*I79)</f>
        <v>8044891275.5374861</v>
      </c>
      <c r="AJ79" s="184">
        <f>IF(intermediates!$B$46=0,$AJ$74+(intermediates!$B$15-$AJ$74)*MIN(1,(data!A79-data!$A$74)/(intermediates!$B$32-data!$A$74)),IF(A79&lt;2021,$AJ$74+(intermediates!$B$15-$AJ$74)*MIN(1,(data!A79-data!$A$74)/(intermediates!$B$32-data!$A$74)),intermediates!$B$47+(intermediates!$B$15-intermediates!$B$47)*MIN(1,(data!A79-$A$77)/(intermediates!$B$32-$A$77))))</f>
        <v>21793.528338267311</v>
      </c>
      <c r="AK79" s="192">
        <f t="shared" si="146"/>
        <v>21793.528338267311</v>
      </c>
      <c r="AL79" s="192">
        <f t="shared" si="85"/>
        <v>175326565991705.66</v>
      </c>
      <c r="AM79" s="192">
        <f>data!AL79/(1000000*conversions!$C$1)</f>
        <v>15027.991370717629</v>
      </c>
      <c r="AN79" s="192">
        <f>IF(intermediates!$B$13=1,($AJ$74+(27400-$AJ$74)*MIN(1,(data!A79-data!$A$74)/(intermediates!$B$32-data!$A$74)))*L79/(1000000*conversions!$C$1),data!AM79)</f>
        <v>15027.991370717629</v>
      </c>
      <c r="AV79" s="214">
        <f>IF(A79&lt;intermediates!$B$29,0,IF(A79&lt;intermediates!$B$31,(data!A79-intermediates!$B$29)*intermediates!$B$26/(intermediates!$B$31-intermediates!$B$29),intermediates!$B$26))</f>
        <v>0.66666666666666663</v>
      </c>
      <c r="AW79" s="212">
        <f>MIN(AW78+intermediates!$B$16,intermediates!$B$17*data!$AW$74)</f>
        <v>1066.7961991699624</v>
      </c>
      <c r="AX79" s="212">
        <f>AV79*1000/conversions!$C$16/intermediates!$B$40</f>
        <v>545.80389978708547</v>
      </c>
      <c r="AY79" s="212">
        <f>AX79*(1-intermediates!$B$39)*intermediates!$B$28/(conversions!$C$2)</f>
        <v>142.86866915305907</v>
      </c>
      <c r="AZ79" s="213">
        <f>IF(A79&lt;intermediates!$B$29,0,MIN(intermediates!$B$25,intermediates!$B$25*(A79-intermediates!$B$29)/(intermediates!$B$31-intermediates!$B$29)))</f>
        <v>0</v>
      </c>
      <c r="BA79" s="212">
        <f>IF(A79&lt;intermediates!$B$29,data!$BA$74,IF(intermediates!$B$23&gt;data!$BA$74,MIN(intermediates!$B$23,data!$BA$74+(intermediates!$B$23-data!$BA$74)*((data!A79-intermediates!$B$29)/(intermediates!$B$31-intermediates!$B$29))),MAX(intermediates!$B$23,data!$BA$74+(intermediates!$B$23-data!$BA$74)*((data!A79-intermediates!$B$29)/(intermediates!$B$31-intermediates!$B$29)))))</f>
        <v>2.128564487466475E-2</v>
      </c>
      <c r="BB79" s="212">
        <f t="shared" si="147"/>
        <v>319.88048749662181</v>
      </c>
      <c r="BC79" s="212">
        <f t="shared" si="166"/>
        <v>319.88048749662181</v>
      </c>
      <c r="BD79" s="212">
        <f t="shared" si="167"/>
        <v>0</v>
      </c>
      <c r="BE79" s="214">
        <f>MAX(0,MIN(1,(data!A79-intermediates!$B$29)/(intermediates!$B$31-intermediates!$B$29)))*((intermediates!$B$38*L79)-$BE$69*1000000000)/1000000000+$BE$69</f>
        <v>274.33307755340775</v>
      </c>
      <c r="BF79" s="214">
        <f t="shared" si="99"/>
        <v>274.33307755340775</v>
      </c>
      <c r="BG79" s="214">
        <f t="shared" si="168"/>
        <v>0</v>
      </c>
      <c r="BH79" s="214">
        <f>BD79*conversions!$C$2/conversions!$C$17+BG79*conversions!$C$6/conversions!$C$10</f>
        <v>0</v>
      </c>
      <c r="BI79" s="214">
        <f>BH79*intermediates!$B$41*conversions!$C$11/(conversions!$C$2*conversions!$C$6*intermediates!$B$42)</f>
        <v>0</v>
      </c>
      <c r="BJ79" s="214">
        <f>BH79*intermediates!$B$43/(conversions!$C$1*intermediates!$B$42)</f>
        <v>0</v>
      </c>
      <c r="BK79" s="214">
        <f t="shared" si="148"/>
        <v>0</v>
      </c>
      <c r="BL79" s="214">
        <f t="shared" si="149"/>
        <v>15027.991370717629</v>
      </c>
      <c r="BM79" s="214">
        <f t="shared" si="150"/>
        <v>13498.446014897985</v>
      </c>
      <c r="BN79" s="214">
        <f>IF(A79&lt;intermediates!$B$29,MIN(BO78+intermediates!$B$33*AN78),MIN(BO78*intermediates!$B$35,BO78+intermediates!$B$37*AN78))</f>
        <v>940.13674957615092</v>
      </c>
      <c r="BO79" s="212">
        <f>IF(A79&lt;intermediates!$B$29,MIN(BM79,BO78+intermediates!$B$33*AN78),MIN(BM79,BO78*intermediates!$B$35,BO78+intermediates!$B$37*AN78))</f>
        <v>940.13674957615092</v>
      </c>
      <c r="BP79" s="214">
        <f t="shared" si="151"/>
        <v>0</v>
      </c>
      <c r="BQ79" s="214">
        <f t="shared" si="152"/>
        <v>12558.309265321835</v>
      </c>
      <c r="BR79" s="212" t="str">
        <f t="shared" si="87"/>
        <v/>
      </c>
      <c r="BS79" s="212">
        <f>BP79*conversions!$C$1*intermediates!$B$42/intermediates!$B$43</f>
        <v>0</v>
      </c>
      <c r="BT79" s="214">
        <f>MIN(BT78+BS79,intermediates!$B$27*1000)</f>
        <v>0</v>
      </c>
      <c r="BU79" s="219" t="str">
        <f>IF(AND(BT79=intermediates!$B$27*1000,BT78&lt;&gt;intermediates!$B$27*1000),A79,"")</f>
        <v/>
      </c>
      <c r="BV79" s="212">
        <f>BT79*intermediates!$B$43/(conversions!$C$1*intermediates!$B$42)</f>
        <v>0</v>
      </c>
      <c r="BW79" s="214">
        <f t="shared" si="153"/>
        <v>15027.991370717629</v>
      </c>
      <c r="BX79" s="214">
        <f t="shared" si="154"/>
        <v>940.13674957615092</v>
      </c>
      <c r="BY79" s="227">
        <f>IF(OR(BQ79&gt;0,BT79&lt;&gt;intermediates!$B$27*1000),MAX(0,(BX79-BX78)/AM78),0.000000000001)</f>
        <v>1.0593502985860155E-2</v>
      </c>
      <c r="BZ79" s="322">
        <f>BH79*intermediates!$B$49*1000000</f>
        <v>0</v>
      </c>
      <c r="CA79" s="322">
        <f>BI79*conversions!$C$1*1000000*intermediates!$B$50</f>
        <v>0</v>
      </c>
      <c r="CB79" s="322">
        <f>BT79*1000000*intermediates!$B$49</f>
        <v>0</v>
      </c>
      <c r="CC79" s="214">
        <f>BW79*conversions!$C$1*1000000/L79</f>
        <v>21793.528338267311</v>
      </c>
      <c r="CD79" s="173">
        <f t="shared" si="100"/>
        <v>2023</v>
      </c>
      <c r="CE79" s="173"/>
      <c r="CF79" s="173"/>
      <c r="CG79" s="173"/>
      <c r="CH79" s="173"/>
      <c r="CI79" s="173">
        <f t="shared" si="155"/>
        <v>12558.309265321835</v>
      </c>
      <c r="CJ79" s="173">
        <f t="shared" si="156"/>
        <v>1066.7961991699624</v>
      </c>
      <c r="CK79" s="173">
        <f t="shared" si="157"/>
        <v>319.88048749662181</v>
      </c>
      <c r="CL79" s="173">
        <f t="shared" si="158"/>
        <v>142.86866915305907</v>
      </c>
      <c r="CM79" s="173"/>
      <c r="CN79" s="173"/>
      <c r="CO79" s="329">
        <f t="shared" si="169"/>
        <v>940.13674957615092</v>
      </c>
      <c r="CP79" s="174">
        <f t="shared" si="159"/>
        <v>43.181152238813027</v>
      </c>
      <c r="CQ79" s="228">
        <f t="shared" si="160"/>
        <v>0.66666666666666663</v>
      </c>
      <c r="CR79" s="228">
        <f t="shared" si="170"/>
        <v>1</v>
      </c>
      <c r="CS79" s="214">
        <f t="shared" ca="1" si="161"/>
        <v>44.22457640914908</v>
      </c>
      <c r="CT79" s="190">
        <f t="shared" ca="1" si="162"/>
        <v>5.4972248715933576</v>
      </c>
      <c r="CU79" s="190">
        <f t="shared" ca="1" si="95"/>
        <v>44.22457640914908</v>
      </c>
      <c r="CV79" s="198">
        <f t="shared" si="174"/>
        <v>2487.8237397186285</v>
      </c>
      <c r="CW79" s="198">
        <f t="shared" ca="1" si="171"/>
        <v>2490.1756032312828</v>
      </c>
      <c r="CX79" s="198">
        <f t="shared" ca="1" si="172"/>
        <v>2487.5966005483933</v>
      </c>
      <c r="CY79" s="198">
        <f t="shared" ca="1" si="173"/>
        <v>-2.5790026828898247</v>
      </c>
      <c r="CZ79" s="199">
        <f ca="1">IF(CX79&lt;intermediates!$B$55,intermediates!$B$56+(CX79-intermediates!$B$55)*intermediates!$B$53,intermediates!$B$56+(data!CX79-intermediates!$B$55)*intermediates!$B$58)</f>
        <v>1.3218460354722716</v>
      </c>
      <c r="DG79" s="201">
        <f>IF(A79&gt;MAX(intermediates!B$31,intermediates!$B$32),DG78,DG78+intermediates!$B$60*DG$73)</f>
        <v>16053953177500</v>
      </c>
      <c r="DH79" s="201">
        <f>IF(A79&gt;MAX(intermediates!B$31,intermediates!$B$32),DH78,DH78+intermediates!$B$61*DH$73)</f>
        <v>32196664636250</v>
      </c>
      <c r="DI79" s="201">
        <f>IF(A79&gt;MAX(intermediates!B$31,intermediates!$B$32),DI78,DI78+intermediates!$B$62*DI$73)</f>
        <v>39841686578000</v>
      </c>
      <c r="DJ79" s="221"/>
      <c r="EE79" s="218"/>
      <c r="EF79" s="212">
        <f>$EF$69+intermediates!$B$90*(A79-2013)*intermediates!$B$92+intermediates!$B$91*intermediates!$B$92*(A79-2013)^2</f>
        <v>2864.4369885492183</v>
      </c>
      <c r="EH79" s="212">
        <f>IF(A79&lt;intermediates!$B$29,data!EH78,IF(A79&lt;intermediates!$B$31,data!$EH$69+(intermediates!$B$93-data!$EH$69)*(data!A79-intermediates!$B$29)/(intermediates!$B$31-intermediates!$B$29),intermediates!$B$93))</f>
        <v>0.16491155127899104</v>
      </c>
      <c r="EI79" s="212">
        <f t="shared" si="128"/>
        <v>0.16491155127899104</v>
      </c>
      <c r="EN79" s="218"/>
      <c r="EO79" s="212">
        <f t="shared" si="129"/>
        <v>2392.0582412266454</v>
      </c>
      <c r="EQ79" s="212">
        <f t="shared" si="130"/>
        <v>472.37874732257296</v>
      </c>
      <c r="ET79" s="214">
        <f>IF(A79&lt;intermediates!$B$29,ET78+intermediates!$B$63,ET78+intermediates!$B$63*intermediates!$B$67)</f>
        <v>885.5074566486586</v>
      </c>
      <c r="EU79" s="215">
        <f t="shared" si="131"/>
        <v>885.5074566486586</v>
      </c>
      <c r="EV79" s="216">
        <f>data!EU79*conversions!$C$13</f>
        <v>1.02984517208239</v>
      </c>
      <c r="EX79" s="212">
        <f>intermediates!$B$64+intermediates!$B$64*(EXP(-(data!A79-intermediates!$B$66)/intermediates!$B$65)-1)</f>
        <v>1.8206858352318639E-2</v>
      </c>
      <c r="EY79" s="217">
        <f>IF(A79&lt;intermediates!$B$29,data!EX79,data!EY78+(data!EX79-data!EX78)*intermediates!$B$68)</f>
        <v>1.8206858352318639E-2</v>
      </c>
      <c r="EZ79" s="217">
        <f t="shared" si="132"/>
        <v>1.8206858352318639E-2</v>
      </c>
      <c r="FB79" s="212">
        <f>intermediates!$B$94+intermediates!$B$95+(intermediates!$B$95*(EXP(-(data!A79-intermediates!$B$97)/intermediates!$B$96)-1))</f>
        <v>1.7670975911925755</v>
      </c>
      <c r="FC79" s="217">
        <f>IF(A79&lt;intermediates!$B$29,data!FB79,data!FC78+(data!FB79-data!FB78)*intermediates!$B$68)</f>
        <v>1.7670975911925755</v>
      </c>
      <c r="FD79" s="212">
        <f t="shared" si="133"/>
        <v>1.7670975911925755</v>
      </c>
      <c r="FF79" s="184">
        <f>intermediates!$B$98+intermediates!$B$99*EXP(-(A79-intermediates!$B$101)/intermediates!$B$100)</f>
        <v>0.87067784325034303</v>
      </c>
      <c r="FG79" s="184">
        <f t="shared" si="101"/>
        <v>0.87067784325034303</v>
      </c>
      <c r="FI79" s="184">
        <f>intermediates!$B$102+intermediates!$B$103*EXP(-(A79-intermediates!$B$105)/intermediates!$B$104)</f>
        <v>2.28512033851858E-2</v>
      </c>
      <c r="FJ79" s="184">
        <f t="shared" si="134"/>
        <v>2.28512033851858E-2</v>
      </c>
      <c r="FL79" s="184">
        <f>intermediates!$B$106</f>
        <v>4.5616870531049965E-2</v>
      </c>
      <c r="FM79" s="184">
        <f t="shared" si="135"/>
        <v>4.5616870531049965E-2</v>
      </c>
      <c r="FN79" s="218">
        <f>IF(A79&lt;intermediates!$B$29,0,IF(A79&lt;intermediates!$B$31,(data!A79-intermediates!$B$29)/(intermediates!$B$31-intermediates!$B$29),1))</f>
        <v>6.6666666666666666E-2</v>
      </c>
      <c r="FO79" s="218">
        <f t="shared" si="81"/>
        <v>1387086017025913.3</v>
      </c>
      <c r="FP79" s="218">
        <f t="shared" si="21"/>
        <v>1593110503246249.8</v>
      </c>
      <c r="FQ79" s="218">
        <f t="shared" si="22"/>
        <v>29005537272195.531</v>
      </c>
      <c r="FR79" s="218">
        <f t="shared" si="23"/>
        <v>2815181732790039.5</v>
      </c>
      <c r="FS79" s="218">
        <f t="shared" si="24"/>
        <v>3179173378668.6958</v>
      </c>
      <c r="FT79" s="218">
        <f>intermediates!$B$69*data!EU79/intermediates!$B$71</f>
        <v>2.2539120471292495</v>
      </c>
      <c r="FU79" s="218">
        <f>BC79*conversions!$C$1*1000000</f>
        <v>3731939020793.9209</v>
      </c>
      <c r="FV79" s="218">
        <f t="shared" si="41"/>
        <v>1655760714153.5078</v>
      </c>
      <c r="FX79" s="221"/>
      <c r="FY79" s="221"/>
      <c r="FZ79" s="221"/>
      <c r="GA79" s="218">
        <f t="shared" si="102"/>
        <v>274.33307755340775</v>
      </c>
      <c r="GB79" s="218">
        <f>GA79*1000000*10000*intermediates!$B$71/(intermediates!$B$72*data!EU79)</f>
        <v>1521427366158.8677</v>
      </c>
      <c r="GC79" s="218">
        <f t="shared" si="83"/>
        <v>7932180176226.1768</v>
      </c>
      <c r="GD79" s="218">
        <f t="shared" si="144"/>
        <v>14288541635207.248</v>
      </c>
      <c r="GE79" s="218">
        <f t="shared" si="30"/>
        <v>15338756767336.398</v>
      </c>
      <c r="GF79" s="218">
        <f t="shared" si="31"/>
        <v>350509050566.29913</v>
      </c>
      <c r="GG79" s="218">
        <f t="shared" si="136"/>
        <v>699706081562.85095</v>
      </c>
      <c r="GH79" s="218">
        <f t="shared" si="103"/>
        <v>9498610821853.4395</v>
      </c>
      <c r="GI79" s="218">
        <f t="shared" si="145"/>
        <v>1612742733041.4336</v>
      </c>
      <c r="GJ79" s="218">
        <f>ET79*intermediates!$B$73/intermediates!$B$71</f>
        <v>3.3808680706938743</v>
      </c>
      <c r="GK79" s="218">
        <f>CL79*conversions!$C$1*1000000/data!GJ79</f>
        <v>493009814422.28699</v>
      </c>
      <c r="GL79" s="218">
        <f>MIN(1,FN79)*(intermediates!$B$75-data!$GL$69)+data!$GL$69</f>
        <v>0.10421966313316208</v>
      </c>
      <c r="GM79" s="218">
        <f>GL79*intermediates!$B$74*(FS79+GC79+GK79+GG79+GF79+GB79+FV79)</f>
        <v>247497206993.06149</v>
      </c>
      <c r="GN79" s="218">
        <f>MIN(1,FN79)*intermediates!$B$76</f>
        <v>8.0000000000000002E-3</v>
      </c>
      <c r="GO79" s="218">
        <f t="shared" si="137"/>
        <v>128634110310.01398</v>
      </c>
      <c r="GP79" s="218">
        <f>IF(A79&gt;intermediates!$B$29,MIN(1,(A79-intermediates!$B$29)/(intermediates!$B$31-intermediates!$B$29))*intermediates!$B$77,0)</f>
        <v>0.01</v>
      </c>
      <c r="GQ79" s="218">
        <f>IF(AND(A79&gt;intermediates!$B$29+intermediates!$B$30,data!GP79&lt;intermediates!$B$77),1,0)</f>
        <v>0</v>
      </c>
      <c r="GR79" s="218">
        <f t="shared" si="104"/>
        <v>482506178137.5</v>
      </c>
      <c r="GS79" s="218">
        <f t="shared" si="105"/>
        <v>45695941349394.797</v>
      </c>
      <c r="GT79" s="218">
        <f t="shared" si="97"/>
        <v>88092304391750</v>
      </c>
      <c r="GU79" s="218">
        <f t="shared" si="106"/>
        <v>40324192756137.5</v>
      </c>
      <c r="GV79" s="218">
        <f t="shared" si="107"/>
        <v>16079263788751.744</v>
      </c>
      <c r="GW79" s="218">
        <f t="shared" si="108"/>
        <v>2554676464355.2031</v>
      </c>
      <c r="GX79" s="218">
        <f>MIN(intermediates!$B$88,FN79*intermediates!$B$87*GO79)</f>
        <v>4287803677.0004659</v>
      </c>
      <c r="GY79" s="218">
        <f t="shared" si="109"/>
        <v>124346306633.0135</v>
      </c>
      <c r="GZ79" s="218">
        <f>MIN(intermediates!$B$88-GX79,intermediates!$B$87*data!GW79*FN79)</f>
        <v>85155882145.173431</v>
      </c>
      <c r="HA79" s="218">
        <f t="shared" si="138"/>
        <v>2469520582210.0298</v>
      </c>
      <c r="HB79" s="218">
        <f t="shared" si="139"/>
        <v>89443685822.173904</v>
      </c>
      <c r="HC79" s="218">
        <f t="shared" si="110"/>
        <v>31599404161038.574</v>
      </c>
      <c r="HD79" s="218">
        <f>HC79*intermediates!$B$79/(10000*1000000000)</f>
        <v>2097.3853116390128</v>
      </c>
      <c r="HE79" s="218">
        <f>(GV79*intermediates!$B$80+GV79*GL79*intermediates!$B$82)/(10000*1000000000)</f>
        <v>495.250674685913</v>
      </c>
      <c r="HF79" s="218">
        <f>GU79*intermediates!$B$78/(10000*1000000000)</f>
        <v>4060.6200978029074</v>
      </c>
      <c r="HG79" s="218">
        <f>HB79*intermediates!$B$81/(10000*1000000000)</f>
        <v>22.482878744427886</v>
      </c>
      <c r="HH79" s="218">
        <f t="shared" si="111"/>
        <v>21.780162273906626</v>
      </c>
      <c r="HI79" s="218">
        <f t="shared" si="112"/>
        <v>12.269366251269947</v>
      </c>
      <c r="HJ79" s="218">
        <f t="shared" si="113"/>
        <v>-37.02599298079997</v>
      </c>
      <c r="HK79" s="218">
        <f ca="1">SUM(HJ79:INDIRECT(ADDRESS(MAX(CELL("row",HJ79)-intermediates!$B$83,69),CELL("col",HJ79))))/intermediates!$B$83+SUM(HH79:INDIRECT(ADDRESS(MAX(CELL("row",HH79)-intermediates!$B$84,69),CELL("col",HH79))))/intermediates!$B$84+SUM(HI79:INDIRECT(ADDRESS(MAX(CELL("row",HI79)-intermediates!$B$85,69),CELL("col",HI79))))/intermediates!$B$85</f>
        <v>-1.7100908370027212</v>
      </c>
      <c r="HL79" s="218">
        <f t="shared" ca="1" si="163"/>
        <v>-0.77286082976454684</v>
      </c>
      <c r="HM79" s="188">
        <f t="shared" si="114"/>
        <v>2023</v>
      </c>
      <c r="HQ79" s="185">
        <f t="shared" si="115"/>
        <v>1311.2453099346346</v>
      </c>
      <c r="HR79" s="185">
        <f t="shared" si="116"/>
        <v>205.81517604697336</v>
      </c>
      <c r="HS79" s="185">
        <f t="shared" si="117"/>
        <v>189.11720669055529</v>
      </c>
      <c r="HT79" s="185">
        <f t="shared" si="118"/>
        <v>61.2823464651918</v>
      </c>
      <c r="HU79" s="185">
        <f t="shared" si="119"/>
        <v>30.764518564177362</v>
      </c>
      <c r="HV79" s="185">
        <f t="shared" si="120"/>
        <v>15.989539933393297</v>
      </c>
      <c r="HW79" s="185">
        <f t="shared" si="121"/>
        <v>59.976718343563114</v>
      </c>
      <c r="HX79" s="185">
        <f t="shared" si="122"/>
        <v>200.46793397262971</v>
      </c>
      <c r="HY79" s="185">
        <f t="shared" si="123"/>
        <v>3605.4604442441823</v>
      </c>
      <c r="HZ79" s="185">
        <f t="shared" si="140"/>
        <v>1874.1908159784887</v>
      </c>
      <c r="IA79" s="185">
        <f t="shared" si="141"/>
        <v>5680.1191941953002</v>
      </c>
      <c r="IB79" s="185">
        <f t="shared" si="124"/>
        <v>2150.8448554218839</v>
      </c>
      <c r="IC79" s="185">
        <f t="shared" si="175"/>
        <v>5997.6718343563116</v>
      </c>
      <c r="ID79" s="185">
        <f t="shared" si="125"/>
        <v>4952.4207616265321</v>
      </c>
      <c r="IE79" s="184">
        <f t="shared" si="142"/>
        <v>-0.83261928193345602</v>
      </c>
      <c r="IF79" s="184">
        <f t="shared" si="143"/>
        <v>-6.4120690758253954E-2</v>
      </c>
    </row>
    <row r="80" spans="1:240" x14ac:dyDescent="0.3">
      <c r="A80" s="211">
        <v>2024</v>
      </c>
      <c r="E80" s="207">
        <v>8056356.3090000004</v>
      </c>
      <c r="F80" s="207">
        <v>8108605.2549999999</v>
      </c>
      <c r="G80" s="207">
        <v>8160744.5829999996</v>
      </c>
      <c r="I80" s="207">
        <f t="shared" si="164"/>
        <v>8056356309</v>
      </c>
      <c r="J80" s="207">
        <f t="shared" si="164"/>
        <v>8108605255</v>
      </c>
      <c r="K80" s="207">
        <f t="shared" si="164"/>
        <v>8160744583</v>
      </c>
      <c r="L80" s="187">
        <f>IF(intermediates!$B$4&gt;=2,(intermediates!$B$4-2)*K80+(1-(intermediates!$B$4-2))*J80,(intermediates!$B$4-1)*J80+(1-(intermediates!$B$4-1))*I80)</f>
        <v>8127858194.9605827</v>
      </c>
      <c r="AJ80" s="184">
        <f>IF(intermediates!$B$46=0,$AJ$74+(intermediates!$B$15-$AJ$74)*MIN(1,(data!A80-data!$A$74)/(intermediates!$B$32-data!$A$74)),IF(A80&lt;2021,$AJ$74+(intermediates!$B$15-$AJ$74)*MIN(1,(data!A80-data!$A$74)/(intermediates!$B$32-data!$A$74)),intermediates!$B$47+(intermediates!$B$15-intermediates!$B$47)*MIN(1,(data!A80-$A$77)/(intermediates!$B$32-$A$77))))</f>
        <v>21912.814969368006</v>
      </c>
      <c r="AK80" s="192">
        <f t="shared" si="146"/>
        <v>21912.814969368006</v>
      </c>
      <c r="AL80" s="192">
        <f t="shared" si="85"/>
        <v>178104252723432.69</v>
      </c>
      <c r="AM80" s="192">
        <f>data!AL80/(1000000*conversions!$C$1)</f>
        <v>15266.07880486566</v>
      </c>
      <c r="AN80" s="192">
        <f>IF(intermediates!$B$13=1,($AJ$74+(27400-$AJ$74)*MIN(1,(data!A80-data!$A$74)/(intermediates!$B$32-data!$A$74)))*L80/(1000000*conversions!$C$1),data!AM80)</f>
        <v>15266.07880486566</v>
      </c>
      <c r="AV80" s="214">
        <f>IF(A80&lt;intermediates!$B$29,0,IF(A80&lt;intermediates!$B$31,(data!A80-intermediates!$B$29)*intermediates!$B$26/(intermediates!$B$31-intermediates!$B$29),intermediates!$B$26))</f>
        <v>1</v>
      </c>
      <c r="AW80" s="212">
        <f>MIN(AW79+intermediates!$B$16,intermediates!$B$17*data!$AW$74)</f>
        <v>1090.3964603571717</v>
      </c>
      <c r="AX80" s="212">
        <f>AV80*1000/conversions!$C$16/intermediates!$B$40</f>
        <v>818.70584968062815</v>
      </c>
      <c r="AY80" s="212">
        <f>AX80*(1-intermediates!$B$39)*intermediates!$B$28/(conversions!$C$2)</f>
        <v>214.3030037295886</v>
      </c>
      <c r="AZ80" s="213">
        <f>IF(A80&lt;intermediates!$B$29,0,MIN(intermediates!$B$25,intermediates!$B$25*(A80-intermediates!$B$29)/(intermediates!$B$31-intermediates!$B$29)))</f>
        <v>0</v>
      </c>
      <c r="BA80" s="212">
        <f>IF(A80&lt;intermediates!$B$29,data!$BA$74,IF(intermediates!$B$23&gt;data!$BA$74,MIN(intermediates!$B$23,data!$BA$74+(intermediates!$B$23-data!$BA$74)*((data!A80-intermediates!$B$29)/(intermediates!$B$31-intermediates!$B$29))),MAX(intermediates!$B$23,data!$BA$74+(intermediates!$B$23-data!$BA$74)*((data!A80-intermediates!$B$29)/(intermediates!$B$31-intermediates!$B$29)))))</f>
        <v>2.3382586129141007E-2</v>
      </c>
      <c r="BB80" s="212">
        <f t="shared" si="147"/>
        <v>356.9604025090253</v>
      </c>
      <c r="BC80" s="212">
        <f t="shared" si="166"/>
        <v>356.9604025090253</v>
      </c>
      <c r="BD80" s="212">
        <f t="shared" si="167"/>
        <v>0</v>
      </c>
      <c r="BE80" s="214">
        <f>MAX(0,MIN(1,(data!A80-intermediates!$B$29)/(intermediates!$B$31-intermediates!$B$29)))*((intermediates!$B$38*L80)-$BE$69*1000000000)/1000000000+$BE$69</f>
        <v>301.48724732793852</v>
      </c>
      <c r="BF80" s="214">
        <f t="shared" si="99"/>
        <v>301.48724732793852</v>
      </c>
      <c r="BG80" s="214">
        <f t="shared" si="168"/>
        <v>0</v>
      </c>
      <c r="BH80" s="214">
        <f>BD80*conversions!$C$2/conversions!$C$17+BG80*conversions!$C$6/conversions!$C$10</f>
        <v>0</v>
      </c>
      <c r="BI80" s="214">
        <f>BH80*intermediates!$B$41*conversions!$C$11/(conversions!$C$2*conversions!$C$6*intermediates!$B$42)</f>
        <v>0</v>
      </c>
      <c r="BJ80" s="214">
        <f>BH80*intermediates!$B$43/(conversions!$C$1*intermediates!$B$42)</f>
        <v>0</v>
      </c>
      <c r="BK80" s="214">
        <f t="shared" si="148"/>
        <v>0</v>
      </c>
      <c r="BL80" s="214">
        <f t="shared" si="149"/>
        <v>15266.07880486566</v>
      </c>
      <c r="BM80" s="214">
        <f t="shared" si="150"/>
        <v>13604.418938269873</v>
      </c>
      <c r="BN80" s="214">
        <f>IF(A80&lt;intermediates!$B$29,MIN(BO79+intermediates!$B$33*AN79),MIN(BO79*intermediates!$B$35,BO79+intermediates!$B$37*AN79))</f>
        <v>1128.1640994913812</v>
      </c>
      <c r="BO80" s="212">
        <f>IF(A80&lt;intermediates!$B$29,MIN(BM80,BO79+intermediates!$B$33*AN79),MIN(BM80,BO79*intermediates!$B$35,BO79+intermediates!$B$37*AN79))</f>
        <v>1128.1640994913812</v>
      </c>
      <c r="BP80" s="214">
        <f t="shared" si="151"/>
        <v>0</v>
      </c>
      <c r="BQ80" s="214">
        <f t="shared" si="152"/>
        <v>12476.254838778494</v>
      </c>
      <c r="BR80" s="212" t="str">
        <f t="shared" si="87"/>
        <v/>
      </c>
      <c r="BS80" s="212">
        <f>BP80*conversions!$C$1*intermediates!$B$42/intermediates!$B$43</f>
        <v>0</v>
      </c>
      <c r="BT80" s="214">
        <f>MIN(BT79+BS80,intermediates!$B$27*1000)</f>
        <v>0</v>
      </c>
      <c r="BU80" s="219" t="str">
        <f>IF(AND(BT80=intermediates!$B$27*1000,BT79&lt;&gt;intermediates!$B$27*1000),A80,"")</f>
        <v/>
      </c>
      <c r="BV80" s="212">
        <f>BT80*intermediates!$B$43/(conversions!$C$1*intermediates!$B$42)</f>
        <v>0</v>
      </c>
      <c r="BW80" s="214">
        <f t="shared" si="153"/>
        <v>15266.07880486566</v>
      </c>
      <c r="BX80" s="214">
        <f t="shared" si="154"/>
        <v>1128.1640994913812</v>
      </c>
      <c r="BY80" s="227">
        <f>IF(OR(BQ80&gt;0,BT80&lt;&gt;intermediates!$B$27*1000),MAX(0,(BX80-BX79)/AM79),0.000000000001)</f>
        <v>1.251180848304223E-2</v>
      </c>
      <c r="BZ80" s="322">
        <f>BH80*intermediates!$B$49*1000000</f>
        <v>0</v>
      </c>
      <c r="CA80" s="322">
        <f>BI80*conversions!$C$1*1000000*intermediates!$B$50</f>
        <v>0</v>
      </c>
      <c r="CB80" s="322">
        <f>BT80*1000000*intermediates!$B$49</f>
        <v>0</v>
      </c>
      <c r="CC80" s="214">
        <f>BW80*conversions!$C$1*1000000/L80</f>
        <v>21912.814969368006</v>
      </c>
      <c r="CD80" s="173">
        <f t="shared" si="100"/>
        <v>2024</v>
      </c>
      <c r="CE80" s="173"/>
      <c r="CF80" s="173"/>
      <c r="CG80" s="173"/>
      <c r="CH80" s="173"/>
      <c r="CI80" s="173">
        <f t="shared" si="155"/>
        <v>12476.254838778494</v>
      </c>
      <c r="CJ80" s="173">
        <f t="shared" si="156"/>
        <v>1090.3964603571717</v>
      </c>
      <c r="CK80" s="173">
        <f t="shared" si="157"/>
        <v>356.9604025090253</v>
      </c>
      <c r="CL80" s="173">
        <f t="shared" si="158"/>
        <v>214.3030037295886</v>
      </c>
      <c r="CM80" s="173"/>
      <c r="CN80" s="173"/>
      <c r="CO80" s="329">
        <f t="shared" si="169"/>
        <v>1128.1640994913812</v>
      </c>
      <c r="CP80" s="174">
        <f t="shared" si="159"/>
        <v>42.899011975376403</v>
      </c>
      <c r="CQ80" s="228">
        <f t="shared" si="160"/>
        <v>1</v>
      </c>
      <c r="CR80" s="228">
        <f t="shared" si="170"/>
        <v>2</v>
      </c>
      <c r="CS80" s="214">
        <f t="shared" ca="1" si="161"/>
        <v>44.667188992211564</v>
      </c>
      <c r="CT80" s="190">
        <f t="shared" ca="1" si="162"/>
        <v>5.4955669649731362</v>
      </c>
      <c r="CU80" s="190">
        <f t="shared" ca="1" si="95"/>
        <v>44.667188992211564</v>
      </c>
      <c r="CV80" s="198">
        <f t="shared" si="174"/>
        <v>2530.7227516940047</v>
      </c>
      <c r="CW80" s="198">
        <f t="shared" ca="1" si="171"/>
        <v>2535.8427922234941</v>
      </c>
      <c r="CX80" s="198">
        <f t="shared" ca="1" si="172"/>
        <v>2532.2637895406051</v>
      </c>
      <c r="CY80" s="198">
        <f t="shared" ca="1" si="173"/>
        <v>-3.5790026828898247</v>
      </c>
      <c r="CZ80" s="199">
        <f ca="1">IF(CX80&lt;intermediates!$B$55,intermediates!$B$56+(CX80-intermediates!$B$55)*intermediates!$B$53,intermediates!$B$56+(data!CX80-intermediates!$B$55)*intermediates!$B$58)</f>
        <v>1.3461360393436361</v>
      </c>
      <c r="DG80" s="201">
        <f>IF(A80&gt;MAX(intermediates!B$31,intermediates!$B$32),DG79,DG79+intermediates!$B$60*DG$73)</f>
        <v>16127384118750</v>
      </c>
      <c r="DH80" s="201">
        <f>IF(A80&gt;MAX(intermediates!B$31,intermediates!$B$32),DH79,DH79+intermediates!$B$61*DH$73)</f>
        <v>32118737353125</v>
      </c>
      <c r="DI80" s="201">
        <f>IF(A80&gt;MAX(intermediates!B$31,intermediates!$B$32),DI79,DI79+intermediates!$B$62*DI$73)</f>
        <v>39816744971000</v>
      </c>
      <c r="DJ80" s="221"/>
      <c r="EE80" s="218"/>
      <c r="EF80" s="212">
        <f>$EF$69+intermediates!$B$90*(A80-2013)*intermediates!$B$92+intermediates!$B$91*intermediates!$B$92*(A80-2013)^2</f>
        <v>2871.5534785492187</v>
      </c>
      <c r="EH80" s="212">
        <f>IF(A80&lt;intermediates!$B$29,data!EH79,IF(A80&lt;intermediates!$B$31,data!$EH$69+(intermediates!$B$93-data!$EH$69)*(data!A80-intermediates!$B$29)/(intermediates!$B$31-intermediates!$B$29),intermediates!$B$93))</f>
        <v>0.15992264314227367</v>
      </c>
      <c r="EI80" s="212">
        <f t="shared" si="128"/>
        <v>0.15992264314227367</v>
      </c>
      <c r="EN80" s="218"/>
      <c r="EO80" s="212">
        <f t="shared" si="129"/>
        <v>2412.3270563352376</v>
      </c>
      <c r="EQ80" s="212">
        <f t="shared" si="130"/>
        <v>459.2264222139811</v>
      </c>
      <c r="ET80" s="214">
        <f>IF(A80&lt;intermediates!$B$29,ET79+intermediates!$B$63,ET79+intermediates!$B$63*intermediates!$B$67)</f>
        <v>895.48304604010139</v>
      </c>
      <c r="EU80" s="215">
        <f t="shared" si="131"/>
        <v>895.48304604010139</v>
      </c>
      <c r="EV80" s="216">
        <f>data!EU80*conversions!$C$13</f>
        <v>1.0414467825446379</v>
      </c>
      <c r="EX80" s="212">
        <f>intermediates!$B$64+intermediates!$B$64*(EXP(-(data!A80-intermediates!$B$66)/intermediates!$B$65)-1)</f>
        <v>1.7868383997931381E-2</v>
      </c>
      <c r="EY80" s="217">
        <f>IF(A80&lt;intermediates!$B$29,data!EX80,data!EY79+(data!EX80-data!EX79)*intermediates!$B$68)</f>
        <v>1.7868383997931381E-2</v>
      </c>
      <c r="EZ80" s="217">
        <f t="shared" si="132"/>
        <v>1.7868383997931381E-2</v>
      </c>
      <c r="FB80" s="212">
        <f>intermediates!$B$94+intermediates!$B$95+(intermediates!$B$95*(EXP(-(data!A80-intermediates!$B$97)/intermediates!$B$96)-1))</f>
        <v>1.7598137174161417</v>
      </c>
      <c r="FC80" s="217">
        <f>IF(A80&lt;intermediates!$B$29,data!FB80,data!FC79+(data!FB80-data!FB79)*intermediates!$B$68)</f>
        <v>1.7598137174161417</v>
      </c>
      <c r="FD80" s="212">
        <f t="shared" si="133"/>
        <v>1.7598137174161417</v>
      </c>
      <c r="FF80" s="184">
        <f>intermediates!$B$98+intermediates!$B$99*EXP(-(A80-intermediates!$B$101)/intermediates!$B$100)</f>
        <v>0.87153824154821635</v>
      </c>
      <c r="FG80" s="184">
        <f t="shared" si="101"/>
        <v>0.87153824154821635</v>
      </c>
      <c r="FI80" s="184">
        <f>intermediates!$B$102+intermediates!$B$103*EXP(-(A80-intermediates!$B$105)/intermediates!$B$104)</f>
        <v>2.258249713773719E-2</v>
      </c>
      <c r="FJ80" s="184">
        <f t="shared" si="134"/>
        <v>2.258249713773719E-2</v>
      </c>
      <c r="FL80" s="184">
        <f>intermediates!$B$106</f>
        <v>4.5616870531049965E-2</v>
      </c>
      <c r="FM80" s="184">
        <f t="shared" si="135"/>
        <v>4.5616870531049965E-2</v>
      </c>
      <c r="FN80" s="218">
        <f>IF(A80&lt;intermediates!$B$29,0,IF(A80&lt;intermediates!$B$31,(data!A80-intermediates!$B$29)/(intermediates!$B$31-intermediates!$B$29),1))</f>
        <v>0.1</v>
      </c>
      <c r="FO80" s="218">
        <f t="shared" si="81"/>
        <v>1362372442284032.3</v>
      </c>
      <c r="FP80" s="218">
        <f t="shared" si="21"/>
        <v>1563181484571335.8</v>
      </c>
      <c r="FQ80" s="218">
        <f t="shared" si="22"/>
        <v>27931527024777.078</v>
      </c>
      <c r="FR80" s="218">
        <f t="shared" si="23"/>
        <v>2750908219359565.5</v>
      </c>
      <c r="FS80" s="218">
        <f t="shared" si="24"/>
        <v>3071982469712.0786</v>
      </c>
      <c r="FT80" s="218">
        <f>intermediates!$B$69*data!EU80/intermediates!$B$71</f>
        <v>2.2793032518421747</v>
      </c>
      <c r="FU80" s="218">
        <f>BC80*conversions!$C$1*1000000</f>
        <v>4164538029271.9614</v>
      </c>
      <c r="FV80" s="218">
        <f t="shared" si="41"/>
        <v>1827110116175.2415</v>
      </c>
      <c r="FX80" s="221"/>
      <c r="FY80" s="221"/>
      <c r="FZ80" s="221"/>
      <c r="GA80" s="218">
        <f t="shared" si="102"/>
        <v>301.48724732793852</v>
      </c>
      <c r="GB80" s="218">
        <f>GA80*1000000*10000*intermediates!$B$71/(intermediates!$B$72*data!EU80)</f>
        <v>1653395873740.5332</v>
      </c>
      <c r="GC80" s="218">
        <f t="shared" si="83"/>
        <v>7991858803993.1836</v>
      </c>
      <c r="GD80" s="218">
        <f t="shared" si="144"/>
        <v>14544347263621.035</v>
      </c>
      <c r="GE80" s="218">
        <f t="shared" si="30"/>
        <v>15608861766098.457</v>
      </c>
      <c r="GF80" s="218">
        <f t="shared" si="31"/>
        <v>352487076156.25385</v>
      </c>
      <c r="GG80" s="218">
        <f t="shared" si="136"/>
        <v>712027426321.16919</v>
      </c>
      <c r="GH80" s="218">
        <f t="shared" si="103"/>
        <v>9513241535144.3242</v>
      </c>
      <c r="GI80" s="218">
        <f t="shared" si="145"/>
        <v>1550599738560.9375</v>
      </c>
      <c r="GJ80" s="218">
        <f>ET80*intermediates!$B$73/intermediates!$B$71</f>
        <v>3.4189548777632623</v>
      </c>
      <c r="GK80" s="218">
        <f>CL80*conversions!$C$1*1000000/data!GJ80</f>
        <v>731276603397.0614</v>
      </c>
      <c r="GL80" s="218">
        <f>MIN(1,FN80)*(intermediates!$B$75-data!$GL$69)+data!$GL$69</f>
        <v>0.13621181802126345</v>
      </c>
      <c r="GM80" s="218">
        <f>GL80*intermediates!$B$74*(FS80+GC80+GK80+GG80+GF80+GB80+FV80)</f>
        <v>333857993104.19824</v>
      </c>
      <c r="GN80" s="218">
        <f>MIN(1,FN80)*intermediates!$B$76</f>
        <v>1.2E-2</v>
      </c>
      <c r="GO80" s="218">
        <f t="shared" si="137"/>
        <v>200087956351.19666</v>
      </c>
      <c r="GP80" s="218">
        <f>IF(A80&gt;intermediates!$B$29,MIN(1,(A80-intermediates!$B$29)/(intermediates!$B$31-intermediates!$B$29))*intermediates!$B$77,0)</f>
        <v>1.4999999999999999E-2</v>
      </c>
      <c r="GQ80" s="218">
        <f>IF(AND(A80&gt;intermediates!$B$29+intermediates!$B$30,data!GP80&lt;intermediates!$B$77),1,0)</f>
        <v>0</v>
      </c>
      <c r="GR80" s="218">
        <f t="shared" si="104"/>
        <v>723691822078.125</v>
      </c>
      <c r="GS80" s="218">
        <f t="shared" si="105"/>
        <v>45529303165806.109</v>
      </c>
      <c r="GT80" s="218">
        <f t="shared" si="97"/>
        <v>88062866442875</v>
      </c>
      <c r="GU80" s="218">
        <f t="shared" si="106"/>
        <v>40540436793078.125</v>
      </c>
      <c r="GV80" s="218">
        <f t="shared" si="107"/>
        <v>16673996362599.719</v>
      </c>
      <c r="GW80" s="218">
        <f t="shared" si="108"/>
        <v>2716818306068.8906</v>
      </c>
      <c r="GX80" s="218">
        <f>MIN(intermediates!$B$88,FN80*intermediates!$B$87*GO80)</f>
        <v>10004397817.559834</v>
      </c>
      <c r="GY80" s="218">
        <f t="shared" si="109"/>
        <v>190083558533.63681</v>
      </c>
      <c r="GZ80" s="218">
        <f>MIN(intermediates!$B$88-GX80,intermediates!$B$87*data!GW80*FN80)</f>
        <v>135840915303.44453</v>
      </c>
      <c r="HA80" s="218">
        <f t="shared" si="138"/>
        <v>2580977390765.4463</v>
      </c>
      <c r="HB80" s="218">
        <f t="shared" si="139"/>
        <v>145845313121.00436</v>
      </c>
      <c r="HC80" s="218">
        <f t="shared" si="110"/>
        <v>30702587974076.16</v>
      </c>
      <c r="HD80" s="218">
        <f>HC80*intermediates!$B$79/(10000*1000000000)</f>
        <v>2037.8598507097756</v>
      </c>
      <c r="HE80" s="218">
        <f>(GV80*intermediates!$B$80+GV80*GL80*intermediates!$B$82)/(10000*1000000000)</f>
        <v>517.42914916496875</v>
      </c>
      <c r="HF80" s="218">
        <f>GU80*intermediates!$B$78/(10000*1000000000)</f>
        <v>4082.3957322896631</v>
      </c>
      <c r="HG80" s="218">
        <f>HB80*intermediates!$B$81/(10000*1000000000)</f>
        <v>36.66018970709456</v>
      </c>
      <c r="HH80" s="218">
        <f t="shared" si="111"/>
        <v>21.775634486755735</v>
      </c>
      <c r="HI80" s="218">
        <f t="shared" si="112"/>
        <v>14.177310962666674</v>
      </c>
      <c r="HJ80" s="218">
        <f t="shared" si="113"/>
        <v>-37.346986450181419</v>
      </c>
      <c r="HK80" s="218">
        <f ca="1">SUM(HJ80:INDIRECT(ADDRESS(MAX(CELL("row",HJ80)-intermediates!$B$83,69),CELL("col",HJ80))))/intermediates!$B$83+SUM(HH80:INDIRECT(ADDRESS(MAX(CELL("row",HH80)-intermediates!$B$84,69),CELL("col",HH80))))/intermediates!$B$84+SUM(HI80:INDIRECT(ADDRESS(MAX(CELL("row",HI80)-intermediates!$B$85,69),CELL("col",HI80))))/intermediates!$B$85</f>
        <v>-2.7681770168351605</v>
      </c>
      <c r="HL80" s="218">
        <f t="shared" ca="1" si="163"/>
        <v>-3.5410378465997074</v>
      </c>
      <c r="HM80" s="188">
        <f t="shared" si="114"/>
        <v>2024</v>
      </c>
      <c r="HQ80" s="185">
        <f t="shared" si="115"/>
        <v>1301.4198555014341</v>
      </c>
      <c r="HR80" s="185">
        <f t="shared" si="116"/>
        <v>224.7960129653938</v>
      </c>
      <c r="HS80" s="185">
        <f t="shared" si="117"/>
        <v>203.4233169527574</v>
      </c>
      <c r="HT80" s="185">
        <f t="shared" si="118"/>
        <v>89.971624240499906</v>
      </c>
      <c r="HU80" s="185">
        <f t="shared" si="119"/>
        <v>41.0757649919626</v>
      </c>
      <c r="HV80" s="185">
        <f t="shared" si="120"/>
        <v>24.617550103821294</v>
      </c>
      <c r="HW80" s="185">
        <f t="shared" si="121"/>
        <v>89.038440966751466</v>
      </c>
      <c r="HX80" s="185">
        <f t="shared" si="122"/>
        <v>190.77593399972665</v>
      </c>
      <c r="HY80" s="185">
        <f t="shared" si="123"/>
        <v>3436.5175123373983</v>
      </c>
      <c r="HZ80" s="185">
        <f t="shared" si="140"/>
        <v>1974.3425657226207</v>
      </c>
      <c r="IA80" s="185">
        <f t="shared" si="141"/>
        <v>5601.6360120597456</v>
      </c>
      <c r="IB80" s="185">
        <f t="shared" si="124"/>
        <v>2160.6828411485212</v>
      </c>
      <c r="IC80" s="185">
        <f t="shared" si="175"/>
        <v>5935.8960644500976</v>
      </c>
      <c r="ID80" s="185">
        <f t="shared" si="125"/>
        <v>4898.799168972595</v>
      </c>
      <c r="IE80" s="184">
        <f t="shared" si="142"/>
        <v>-0.80867848672357745</v>
      </c>
      <c r="IF80" s="184">
        <f t="shared" si="143"/>
        <v>-6.8233058931553431E-2</v>
      </c>
    </row>
    <row r="81" spans="1:240" x14ac:dyDescent="0.3">
      <c r="A81" s="184">
        <v>2025</v>
      </c>
      <c r="E81" s="207">
        <v>8113912.1600000001</v>
      </c>
      <c r="F81" s="207">
        <v>8184437.4529999997</v>
      </c>
      <c r="G81" s="207">
        <v>8254962.6140000001</v>
      </c>
      <c r="I81" s="207">
        <f t="shared" si="164"/>
        <v>8113912160</v>
      </c>
      <c r="J81" s="207">
        <f t="shared" si="164"/>
        <v>8184437453</v>
      </c>
      <c r="K81" s="207">
        <f t="shared" si="164"/>
        <v>8254962614</v>
      </c>
      <c r="L81" s="187">
        <f>IF(intermediates!$B$4&gt;=2,(intermediates!$B$4-2)*K81+(1-(intermediates!$B$4-2))*J81,(intermediates!$B$4-1)*J81+(1-(intermediates!$B$4-1))*I81)</f>
        <v>8210479535.6759281</v>
      </c>
      <c r="AJ81" s="184">
        <f>IF(intermediates!$B$46=0,$AJ$74+(intermediates!$B$15-$AJ$74)*MIN(1,(data!A81-data!$A$74)/(intermediates!$B$32-data!$A$74)),IF(A81&lt;2021,$AJ$74+(intermediates!$B$15-$AJ$74)*MIN(1,(data!A81-data!$A$74)/(intermediates!$B$32-data!$A$74)),intermediates!$B$47+(intermediates!$B$15-intermediates!$B$47)*MIN(1,(data!A81-$A$77)/(intermediates!$B$32-$A$77))))</f>
        <v>22032.101600468704</v>
      </c>
      <c r="AK81" s="192">
        <f t="shared" si="146"/>
        <v>22032.101600468704</v>
      </c>
      <c r="AL81" s="192">
        <f t="shared" si="85"/>
        <v>180894119318581.16</v>
      </c>
      <c r="AM81" s="192">
        <f>data!AL81/(1000000*conversions!$C$1)</f>
        <v>15505.210227306958</v>
      </c>
      <c r="AN81" s="192">
        <f>IF(intermediates!$B$13=1,($AJ$74+(27400-$AJ$74)*MIN(1,(data!A81-data!$A$74)/(intermediates!$B$32-data!$A$74)))*L81/(1000000*conversions!$C$1),data!AM81)</f>
        <v>15505.210227306958</v>
      </c>
      <c r="AV81" s="214">
        <f>IF(A81&lt;intermediates!$B$29,0,IF(A81&lt;intermediates!$B$31,(data!A81-intermediates!$B$29)*intermediates!$B$26/(intermediates!$B$31-intermediates!$B$29),intermediates!$B$26))</f>
        <v>1.3333333333333333</v>
      </c>
      <c r="AW81" s="212">
        <f>MIN(AW80+intermediates!$B$16,intermediates!$B$17*data!$AW$74)</f>
        <v>1113.996721544381</v>
      </c>
      <c r="AX81" s="212">
        <f>AV81*1000/conversions!$C$16/intermediates!$B$40</f>
        <v>1091.6077995741709</v>
      </c>
      <c r="AY81" s="212">
        <f>AX81*(1-intermediates!$B$39)*intermediates!$B$28/(conversions!$C$2)</f>
        <v>285.73733830611815</v>
      </c>
      <c r="AZ81" s="213">
        <f>IF(A81&lt;intermediates!$B$29,0,MIN(intermediates!$B$25,intermediates!$B$25*(A81-intermediates!$B$29)/(intermediates!$B$31-intermediates!$B$29)))</f>
        <v>0</v>
      </c>
      <c r="BA81" s="212">
        <f>IF(A81&lt;intermediates!$B$29,data!$BA$74,IF(intermediates!$B$23&gt;data!$BA$74,MIN(intermediates!$B$23,data!$BA$74+(intermediates!$B$23-data!$BA$74)*((data!A81-intermediates!$B$29)/(intermediates!$B$31-intermediates!$B$29))),MAX(intermediates!$B$23,data!$BA$74+(intermediates!$B$23-data!$BA$74)*((data!A81-intermediates!$B$29)/(intermediates!$B$31-intermediates!$B$29)))))</f>
        <v>2.5479527383617265E-2</v>
      </c>
      <c r="BB81" s="212">
        <f t="shared" si="147"/>
        <v>395.06542857541012</v>
      </c>
      <c r="BC81" s="212">
        <f t="shared" si="166"/>
        <v>395.06542857541012</v>
      </c>
      <c r="BD81" s="212">
        <f>BB81*AZ81</f>
        <v>0</v>
      </c>
      <c r="BE81" s="214">
        <f>MAX(0,MIN(1,(data!A81-intermediates!$B$29)/(intermediates!$B$31-intermediates!$B$29)))*((intermediates!$B$38*L81)-$BE$69*1000000000)/1000000000+$BE$69</f>
        <v>329.32704845253255</v>
      </c>
      <c r="BF81" s="214">
        <f t="shared" si="99"/>
        <v>329.32704845253255</v>
      </c>
      <c r="BG81" s="214">
        <f t="shared" si="168"/>
        <v>0</v>
      </c>
      <c r="BH81" s="214">
        <f>BD81*conversions!$C$2/conversions!$C$17+BG81*conversions!$C$6/conversions!$C$10</f>
        <v>0</v>
      </c>
      <c r="BI81" s="214">
        <f>BH81*intermediates!$B$41*conversions!$C$11/(conversions!$C$2*conversions!$C$6*intermediates!$B$42)</f>
        <v>0</v>
      </c>
      <c r="BJ81" s="214">
        <f>BH81*intermediates!$B$43/(conversions!$C$1*intermediates!$B$42)</f>
        <v>0</v>
      </c>
      <c r="BK81" s="214">
        <f t="shared" si="148"/>
        <v>0</v>
      </c>
      <c r="BL81" s="214">
        <f t="shared" si="149"/>
        <v>15505.210227306958</v>
      </c>
      <c r="BM81" s="214">
        <f t="shared" si="150"/>
        <v>13710.410738881048</v>
      </c>
      <c r="BN81" s="214">
        <f>IF(A81&lt;intermediates!$B$29,MIN(BO80+intermediates!$B$33*AN80),MIN(BO80*intermediates!$B$35,BO80+intermediates!$B$37*AN80))</f>
        <v>1353.7969193896577</v>
      </c>
      <c r="BO81" s="212">
        <f>IF(A81&lt;intermediates!$B$29,MIN(BM81,BO80+intermediates!$B$33*AN80),MIN(BM81,BO80*intermediates!$B$35,BO80+intermediates!$B$37*AN80))</f>
        <v>1353.7969193896577</v>
      </c>
      <c r="BP81" s="214">
        <f t="shared" si="151"/>
        <v>0</v>
      </c>
      <c r="BQ81" s="214">
        <f t="shared" si="152"/>
        <v>12356.613819491391</v>
      </c>
      <c r="BR81" s="212" t="str">
        <f t="shared" si="87"/>
        <v/>
      </c>
      <c r="BS81" s="212">
        <f>BP81*conversions!$C$1*intermediates!$B$42/intermediates!$B$43</f>
        <v>0</v>
      </c>
      <c r="BT81" s="214">
        <f>MIN(BT80+BS81,intermediates!$B$27*1000)</f>
        <v>0</v>
      </c>
      <c r="BU81" s="219" t="str">
        <f>IF(AND(BT81=intermediates!$B$27*1000,BT80&lt;&gt;intermediates!$B$27*1000),A81,"")</f>
        <v/>
      </c>
      <c r="BV81" s="212">
        <f>BT81*intermediates!$B$43/(conversions!$C$1*intermediates!$B$42)</f>
        <v>0</v>
      </c>
      <c r="BW81" s="214">
        <f t="shared" si="153"/>
        <v>15505.210227306958</v>
      </c>
      <c r="BX81" s="214">
        <f t="shared" si="154"/>
        <v>1353.7969193896577</v>
      </c>
      <c r="BY81" s="227">
        <f>IF(OR(BQ81&gt;0,BT81&lt;&gt;intermediates!$B$27*1000),MAX(0,(BX81-BX80)/AM80),0.000000000001)</f>
        <v>1.4780011473958982E-2</v>
      </c>
      <c r="BZ81" s="322">
        <f>BH81*intermediates!$B$49*1000000</f>
        <v>0</v>
      </c>
      <c r="CA81" s="322">
        <f>BI81*conversions!$C$1*1000000*intermediates!$B$50</f>
        <v>0</v>
      </c>
      <c r="CB81" s="322">
        <f>BT81*1000000*intermediates!$B$49</f>
        <v>0</v>
      </c>
      <c r="CC81" s="214">
        <f>BW81*conversions!$C$1*1000000/L81</f>
        <v>22032.101600468704</v>
      </c>
      <c r="CD81" s="173">
        <f t="shared" si="100"/>
        <v>2025</v>
      </c>
      <c r="CE81" s="173"/>
      <c r="CF81" s="173"/>
      <c r="CG81" s="173"/>
      <c r="CH81" s="173"/>
      <c r="CI81" s="173">
        <f t="shared" si="155"/>
        <v>12356.613819491391</v>
      </c>
      <c r="CJ81" s="173">
        <f t="shared" si="156"/>
        <v>1113.996721544381</v>
      </c>
      <c r="CK81" s="173">
        <f t="shared" si="157"/>
        <v>395.06542857541012</v>
      </c>
      <c r="CL81" s="173">
        <f t="shared" si="158"/>
        <v>285.73733830611815</v>
      </c>
      <c r="CM81" s="173"/>
      <c r="CN81" s="173"/>
      <c r="CO81" s="329">
        <f t="shared" si="169"/>
        <v>1353.7969193896577</v>
      </c>
      <c r="CP81" s="174">
        <f t="shared" si="159"/>
        <v>42.487631991120949</v>
      </c>
      <c r="CQ81" s="228">
        <f t="shared" si="160"/>
        <v>1.3333333333333333</v>
      </c>
      <c r="CR81" s="228">
        <f t="shared" si="170"/>
        <v>3.333333333333333</v>
      </c>
      <c r="CS81" s="214">
        <f t="shared" ca="1" si="161"/>
        <v>44.970375385555961</v>
      </c>
      <c r="CT81" s="190">
        <f ca="1">1000000000*CS81/L81</f>
        <v>5.4771923113810885</v>
      </c>
      <c r="CU81" s="190">
        <f t="shared" ca="1" si="95"/>
        <v>44.970375385555961</v>
      </c>
      <c r="CV81" s="198">
        <f t="shared" si="174"/>
        <v>2573.2103836851256</v>
      </c>
      <c r="CW81" s="198">
        <f t="shared" ca="1" si="171"/>
        <v>2582.1465009423832</v>
      </c>
      <c r="CX81" s="198">
        <f t="shared" ca="1" si="172"/>
        <v>2577.2341649261612</v>
      </c>
      <c r="CY81" s="198">
        <f t="shared" ca="1" si="173"/>
        <v>-4.9123360162231577</v>
      </c>
      <c r="CZ81" s="199">
        <f ca="1">IF(CX81&lt;intermediates!$B$55,intermediates!$B$56+(CX81-intermediates!$B$55)*intermediates!$B$53,intermediates!$B$56+(data!CX81-intermediates!$B$55)*intermediates!$B$58)</f>
        <v>1.3705909158840499</v>
      </c>
      <c r="DG81" s="201">
        <f>IF(A81&gt;MAX(intermediates!B$31,intermediates!$B$32),DG80,DG80+intermediates!$B$60*DG$73)</f>
        <v>16200815060000</v>
      </c>
      <c r="DH81" s="201">
        <f>IF(A81&gt;MAX(intermediates!B$31,intermediates!$B$32),DH80,DH80+intermediates!$B$61*DH$73)</f>
        <v>32040810070000</v>
      </c>
      <c r="DI81" s="201">
        <f>IF(A81&gt;MAX(intermediates!B$31,intermediates!$B$32),DI80,DI80+intermediates!$B$62*DI$73)</f>
        <v>39791803364000</v>
      </c>
      <c r="DJ81" s="221"/>
      <c r="EE81" s="218"/>
      <c r="EF81" s="212">
        <f>$EF$69+intermediates!$B$90*(A81-2013)*intermediates!$B$92+intermediates!$B$91*intermediates!$B$92*(A81-2013)^2</f>
        <v>2878.588568549219</v>
      </c>
      <c r="EH81" s="212">
        <f>IF(A81&lt;intermediates!$B$29,data!EH80,IF(A81&lt;intermediates!$B$31,data!$EH$69+(intermediates!$B$93-data!$EH$69)*(data!A81-intermediates!$B$29)/(intermediates!$B$31-intermediates!$B$29),intermediates!$B$93))</f>
        <v>0.15493373500555629</v>
      </c>
      <c r="EI81" s="212">
        <f t="shared" si="128"/>
        <v>0.15493373500555629</v>
      </c>
      <c r="EN81" s="218"/>
      <c r="EO81" s="212">
        <f t="shared" si="129"/>
        <v>2432.5980900795907</v>
      </c>
      <c r="EQ81" s="212">
        <f t="shared" si="130"/>
        <v>445.99047846962821</v>
      </c>
      <c r="ET81" s="214">
        <f>IF(A81&lt;intermediates!$B$29,ET80+intermediates!$B$63,ET80+intermediates!$B$63*intermediates!$B$67)</f>
        <v>905.45863543154417</v>
      </c>
      <c r="EU81" s="215">
        <f t="shared" si="131"/>
        <v>905.45863543154417</v>
      </c>
      <c r="EV81" s="216">
        <f>data!EU81*conversions!$C$13</f>
        <v>1.0530483930068859</v>
      </c>
      <c r="EX81" s="212">
        <f>intermediates!$B$64+intermediates!$B$64*(EXP(-(data!A81-intermediates!$B$66)/intermediates!$B$65)-1)</f>
        <v>1.7536202046459608E-2</v>
      </c>
      <c r="EY81" s="217">
        <f>IF(A81&lt;intermediates!$B$29,data!EX81,data!EY80+(data!EX81-data!EX80)*intermediates!$B$68)</f>
        <v>1.7536202046459608E-2</v>
      </c>
      <c r="EZ81" s="217">
        <f t="shared" si="132"/>
        <v>1.7536202046459608E-2</v>
      </c>
      <c r="FB81" s="212">
        <f>intermediates!$B$94+intermediates!$B$95+(intermediates!$B$95*(EXP(-(data!A81-intermediates!$B$97)/intermediates!$B$96)-1))</f>
        <v>1.752728478217257</v>
      </c>
      <c r="FC81" s="217">
        <f>IF(A81&lt;intermediates!$B$29,data!FB81,data!FC80+(data!FB81-data!FB80)*intermediates!$B$68)</f>
        <v>1.752728478217257</v>
      </c>
      <c r="FD81" s="212">
        <f t="shared" si="133"/>
        <v>1.752728478217257</v>
      </c>
      <c r="FF81" s="184">
        <f>intermediates!$B$98+intermediates!$B$99*EXP(-(A81-intermediates!$B$101)/intermediates!$B$100)</f>
        <v>0.87237981368567097</v>
      </c>
      <c r="FG81" s="184">
        <f t="shared" si="101"/>
        <v>0.87237981368567097</v>
      </c>
      <c r="FI81" s="184">
        <f>intermediates!$B$102+intermediates!$B$103*EXP(-(A81-intermediates!$B$105)/intermediates!$B$104)</f>
        <v>2.2320834263120513E-2</v>
      </c>
      <c r="FJ81" s="184">
        <f t="shared" si="134"/>
        <v>2.2320834263120513E-2</v>
      </c>
      <c r="FL81" s="184">
        <f>intermediates!$B$106</f>
        <v>4.5616870531049965E-2</v>
      </c>
      <c r="FM81" s="184">
        <f t="shared" si="135"/>
        <v>4.5616870531049965E-2</v>
      </c>
      <c r="FN81" s="218">
        <f>IF(A81&lt;intermediates!$B$29,0,IF(A81&lt;intermediates!$B$31,(data!A81-intermediates!$B$29)/(intermediates!$B$31-intermediates!$B$29),1))</f>
        <v>0.13333333333333333</v>
      </c>
      <c r="FO81" s="218">
        <f t="shared" ref="FO81:FO112" si="176">(EP81+EQ81)*L81*365</f>
        <v>1336555429252137.3</v>
      </c>
      <c r="FP81" s="218">
        <f t="shared" ref="FP81:FP144" si="177">FO81/FG81</f>
        <v>1532079729820197.8</v>
      </c>
      <c r="FQ81" s="218">
        <f t="shared" ref="FQ81:FQ144" si="178">FP81*EZ81</f>
        <v>26866859693412.234</v>
      </c>
      <c r="FR81" s="218">
        <f t="shared" ref="FR81:FR144" si="179">FP81*FD81</f>
        <v>2685319773355261.5</v>
      </c>
      <c r="FS81" s="218">
        <f t="shared" ref="FS81:FS144" si="180">FR81/(EU81)</f>
        <v>2965701212927.7783</v>
      </c>
      <c r="FT81" s="218">
        <f>intermediates!$B$69*data!EU81/intermediates!$B$71</f>
        <v>2.3046944565550995</v>
      </c>
      <c r="FU81" s="218">
        <f>BC81*conversions!$C$1*1000000</f>
        <v>4609096666713.1172</v>
      </c>
      <c r="FV81" s="218">
        <f t="shared" si="41"/>
        <v>1999873195166.3916</v>
      </c>
      <c r="FX81" s="221"/>
      <c r="FY81" s="221"/>
      <c r="FZ81" s="221"/>
      <c r="GA81" s="218">
        <f t="shared" si="102"/>
        <v>329.32704845253255</v>
      </c>
      <c r="GB81" s="218">
        <f>GA81*1000000*10000*intermediates!$B$71/(intermediates!$B$72*data!EU81)</f>
        <v>1786175210318.2698</v>
      </c>
      <c r="GC81" s="218">
        <f t="shared" ref="GC81:GC112" si="181">(EN81+EO81)*L81*365/EU81</f>
        <v>8051246694527.7559</v>
      </c>
      <c r="GD81" s="218">
        <f t="shared" si="144"/>
        <v>14802996312940.195</v>
      </c>
      <c r="GE81" s="218">
        <f t="shared" ref="GE81:GE144" si="182">GD81/(1-(FK81+FL81+FJ81))</f>
        <v>15881981697018.668</v>
      </c>
      <c r="GF81" s="218">
        <f t="shared" ref="GF81:GF144" si="183">FJ81*GE81</f>
        <v>354499081229.06714</v>
      </c>
      <c r="GG81" s="218">
        <f t="shared" si="136"/>
        <v>724486302849.40576</v>
      </c>
      <c r="GH81" s="218">
        <f t="shared" si="103"/>
        <v>9527355460794.1816</v>
      </c>
      <c r="GI81" s="218">
        <f t="shared" si="145"/>
        <v>1489592446661.3535</v>
      </c>
      <c r="GJ81" s="218">
        <f>ET81*intermediates!$B$73/intermediates!$B$71</f>
        <v>3.4570416848326495</v>
      </c>
      <c r="GK81" s="218">
        <f>CL81*conversions!$C$1*1000000/data!GJ81</f>
        <v>964293342155.46777</v>
      </c>
      <c r="GL81" s="218">
        <f>MIN(1,FN81)*(intermediates!$B$75-data!$GL$69)+data!$GL$69</f>
        <v>0.16820397290936479</v>
      </c>
      <c r="GM81" s="218">
        <f>GL81*intermediates!$B$74*(FS81+GC81+GK81+GG81+GF81+GB81+FV81)</f>
        <v>425041558546.94318</v>
      </c>
      <c r="GN81" s="218">
        <f>MIN(1,FN81)*intermediates!$B$76</f>
        <v>1.6E-2</v>
      </c>
      <c r="GO81" s="218">
        <f t="shared" si="137"/>
        <v>276341065563.53723</v>
      </c>
      <c r="GP81" s="218">
        <f>IF(A81&gt;intermediates!$B$29,MIN(1,(A81-intermediates!$B$29)/(intermediates!$B$31-intermediates!$B$29))*intermediates!$B$77,0)</f>
        <v>0.02</v>
      </c>
      <c r="GQ81" s="218">
        <f>IF(AND(A81&gt;intermediates!$B$29+intermediates!$B$30,data!GP81&lt;intermediates!$B$77),1,0)</f>
        <v>0</v>
      </c>
      <c r="GR81" s="218">
        <f t="shared" si="104"/>
        <v>964832502600</v>
      </c>
      <c r="GS81" s="218">
        <f t="shared" si="105"/>
        <v>45379349859296.859</v>
      </c>
      <c r="GT81" s="218">
        <f t="shared" si="97"/>
        <v>88033428494000</v>
      </c>
      <c r="GU81" s="218">
        <f t="shared" si="106"/>
        <v>40756635866600</v>
      </c>
      <c r="GV81" s="218">
        <f t="shared" si="107"/>
        <v>17271316597721.08</v>
      </c>
      <c r="GW81" s="218">
        <f t="shared" si="108"/>
        <v>2862275270703.1406</v>
      </c>
      <c r="GX81" s="218">
        <f>MIN(intermediates!$B$88,FN81*intermediates!$B$87*GO81)</f>
        <v>18422737704.235817</v>
      </c>
      <c r="GY81" s="218">
        <f t="shared" si="109"/>
        <v>257918327859.30142</v>
      </c>
      <c r="GZ81" s="218">
        <f>MIN(intermediates!$B$88-GX81,intermediates!$B$87*data!GW81*FN81)</f>
        <v>190818351380.20938</v>
      </c>
      <c r="HA81" s="218">
        <f t="shared" si="138"/>
        <v>2671456919322.9312</v>
      </c>
      <c r="HB81" s="218">
        <f t="shared" si="139"/>
        <v>209241089084.44519</v>
      </c>
      <c r="HC81" s="218">
        <f t="shared" si="110"/>
        <v>29796234940594.465</v>
      </c>
      <c r="HD81" s="218">
        <f>HC81*intermediates!$B$79/(10000*1000000000)</f>
        <v>1977.7013891800536</v>
      </c>
      <c r="HE81" s="218">
        <f>(GV81*intermediates!$B$80+GV81*GL81*intermediates!$B$82)/(10000*1000000000)</f>
        <v>539.96390840181425</v>
      </c>
      <c r="HF81" s="218">
        <f>GU81*intermediates!$B$78/(10000*1000000000)</f>
        <v>4104.1668389892684</v>
      </c>
      <c r="HG81" s="218">
        <f>HB81*intermediates!$B$81/(10000*1000000000)</f>
        <v>52.595574421994201</v>
      </c>
      <c r="HH81" s="218">
        <f t="shared" si="111"/>
        <v>21.771106699605298</v>
      </c>
      <c r="HI81" s="218">
        <f t="shared" si="112"/>
        <v>15.935384714899641</v>
      </c>
      <c r="HJ81" s="218">
        <f t="shared" si="113"/>
        <v>-37.623702292876487</v>
      </c>
      <c r="HK81" s="218">
        <f ca="1">SUM(HJ81:INDIRECT(ADDRESS(MAX(CELL("row",HJ81)-intermediates!$B$83,69),CELL("col",HJ81))))/intermediates!$B$83+SUM(HH81:INDIRECT(ADDRESS(MAX(CELL("row",HH81)-intermediates!$B$84,69),CELL("col",HH81))))/intermediates!$B$84+SUM(HI81:INDIRECT(ADDRESS(MAX(CELL("row",HI81)-intermediates!$B$85,69),CELL("col",HI81))))/intermediates!$B$85</f>
        <v>-3.8160767277683432</v>
      </c>
      <c r="HL81" s="218">
        <f t="shared" ca="1" si="163"/>
        <v>-7.3571145743680511</v>
      </c>
      <c r="HM81" s="188">
        <f t="shared" si="114"/>
        <v>2025</v>
      </c>
      <c r="HQ81" s="185">
        <f t="shared" si="115"/>
        <v>1291.805283575253</v>
      </c>
      <c r="HR81" s="185">
        <f t="shared" si="116"/>
        <v>243.57568720275142</v>
      </c>
      <c r="HS81" s="185">
        <f t="shared" si="117"/>
        <v>217.54822024183059</v>
      </c>
      <c r="HT81" s="185">
        <f t="shared" si="118"/>
        <v>117.44665314193274</v>
      </c>
      <c r="HU81" s="185">
        <f t="shared" si="119"/>
        <v>51.768177083940763</v>
      </c>
      <c r="HV81" s="185">
        <f t="shared" si="120"/>
        <v>33.657116416013018</v>
      </c>
      <c r="HW81" s="185">
        <f t="shared" si="121"/>
        <v>117.51232049329627</v>
      </c>
      <c r="HX81" s="185">
        <f t="shared" si="122"/>
        <v>181.42575475510552</v>
      </c>
      <c r="HY81" s="185">
        <f t="shared" si="123"/>
        <v>3272.2643758712466</v>
      </c>
      <c r="HZ81" s="185">
        <f t="shared" si="140"/>
        <v>2073.313458155018</v>
      </c>
      <c r="IA81" s="185">
        <f t="shared" si="141"/>
        <v>5527.0035887813701</v>
      </c>
      <c r="IB81" s="185">
        <f t="shared" si="124"/>
        <v>2170.5208268751585</v>
      </c>
      <c r="IC81" s="185">
        <f t="shared" si="175"/>
        <v>5875.6160246648133</v>
      </c>
      <c r="ID81" s="185">
        <f t="shared" si="125"/>
        <v>4846.4652023183125</v>
      </c>
      <c r="IE81" s="184">
        <f t="shared" si="142"/>
        <v>-0.78455171094408338</v>
      </c>
      <c r="IF81" s="184">
        <f t="shared" si="143"/>
        <v>-7.1931278020253592E-2</v>
      </c>
    </row>
    <row r="82" spans="1:240" x14ac:dyDescent="0.3">
      <c r="A82" s="211">
        <v>2026</v>
      </c>
      <c r="E82" s="207">
        <v>8168847.6289999997</v>
      </c>
      <c r="F82" s="207">
        <v>8259276.6509999903</v>
      </c>
      <c r="G82" s="207">
        <v>8349711.7460000003</v>
      </c>
      <c r="I82" s="207">
        <f t="shared" si="164"/>
        <v>8168847629</v>
      </c>
      <c r="J82" s="207">
        <f t="shared" si="164"/>
        <v>8259276650.9999905</v>
      </c>
      <c r="K82" s="207">
        <f t="shared" si="164"/>
        <v>8349711746</v>
      </c>
      <c r="L82" s="187">
        <f>IF(intermediates!$B$4&gt;=2,(intermediates!$B$4-2)*K82+(1-(intermediates!$B$4-2))*J82,(intermediates!$B$4-1)*J82+(1-(intermediates!$B$4-1))*I82)</f>
        <v>8292670665.0993805</v>
      </c>
      <c r="AJ82" s="184">
        <f>IF(intermediates!$B$46=0,$AJ$74+(intermediates!$B$15-$AJ$74)*MIN(1,(data!A82-data!$A$74)/(intermediates!$B$32-data!$A$74)),IF(A82&lt;2021,$AJ$74+(intermediates!$B$15-$AJ$74)*MIN(1,(data!A82-data!$A$74)/(intermediates!$B$32-data!$A$74)),intermediates!$B$47+(intermediates!$B$15-intermediates!$B$47)*MIN(1,(data!A82-$A$77)/(intermediates!$B$32-$A$77))))</f>
        <v>22151.388231569399</v>
      </c>
      <c r="AK82" s="192">
        <f t="shared" si="146"/>
        <v>22151.388231569399</v>
      </c>
      <c r="AL82" s="192">
        <f t="shared" si="85"/>
        <v>183694167379163.19</v>
      </c>
      <c r="AM82" s="192">
        <f>data!AL82/(1000000*conversions!$C$1)</f>
        <v>15745.214346785417</v>
      </c>
      <c r="AN82" s="192">
        <f>IF(intermediates!$B$13=1,($AJ$74+(27400-$AJ$74)*MIN(1,(data!A82-data!$A$74)/(intermediates!$B$32-data!$A$74)))*L82/(1000000*conversions!$C$1),data!AM82)</f>
        <v>15745.214346785417</v>
      </c>
      <c r="AV82" s="214">
        <f>IF(A82&lt;intermediates!$B$29,0,IF(A82&lt;intermediates!$B$31,(data!A82-intermediates!$B$29)*intermediates!$B$26/(intermediates!$B$31-intermediates!$B$29),intermediates!$B$26))</f>
        <v>1.6666666666666667</v>
      </c>
      <c r="AW82" s="212">
        <f>MIN(AW81+intermediates!$B$16,intermediates!$B$17*data!$AW$74)</f>
        <v>1137.5969827315903</v>
      </c>
      <c r="AX82" s="212">
        <f>AV82*1000/conversions!$C$16/intermediates!$B$40</f>
        <v>1364.5097494677136</v>
      </c>
      <c r="AY82" s="212">
        <f>AX82*(1-intermediates!$B$39)*intermediates!$B$28/(conversions!$C$2)</f>
        <v>357.17167288264773</v>
      </c>
      <c r="AZ82" s="213">
        <f>IF(A82&lt;intermediates!$B$29,0,MIN(intermediates!$B$25,intermediates!$B$25*(A82-intermediates!$B$29)/(intermediates!$B$31-intermediates!$B$29)))</f>
        <v>0</v>
      </c>
      <c r="BA82" s="212">
        <f>IF(A82&lt;intermediates!$B$29,data!$BA$74,IF(intermediates!$B$23&gt;data!$BA$74,MIN(intermediates!$B$23,data!$BA$74+(intermediates!$B$23-data!$BA$74)*((data!A82-intermediates!$B$29)/(intermediates!$B$31-intermediates!$B$29))),MAX(intermediates!$B$23,data!$BA$74+(intermediates!$B$23-data!$BA$74)*((data!A82-intermediates!$B$29)/(intermediates!$B$31-intermediates!$B$29)))))</f>
        <v>2.7576468638093526E-2</v>
      </c>
      <c r="BB82" s="212">
        <f t="shared" si="147"/>
        <v>434.19740963418826</v>
      </c>
      <c r="BC82" s="212">
        <f t="shared" si="166"/>
        <v>434.19740963418826</v>
      </c>
      <c r="BD82" s="212">
        <f t="shared" si="167"/>
        <v>0</v>
      </c>
      <c r="BE82" s="214">
        <f>MAX(0,MIN(1,(data!A82-intermediates!$B$29)/(intermediates!$B$31-intermediates!$B$29)))*((intermediates!$B$38*L82)-$BE$69*1000000000)/1000000000+$BE$69</f>
        <v>357.84639801450675</v>
      </c>
      <c r="BF82" s="214">
        <f t="shared" si="99"/>
        <v>357.84639801450675</v>
      </c>
      <c r="BG82" s="214">
        <f t="shared" si="168"/>
        <v>0</v>
      </c>
      <c r="BH82" s="214">
        <f>BD82*conversions!$C$2/conversions!$C$17+BG82*conversions!$C$6/conversions!$C$10</f>
        <v>0</v>
      </c>
      <c r="BI82" s="214">
        <f>BH82*intermediates!$B$41*conversions!$C$11/(conversions!$C$2*conversions!$C$6*intermediates!$B$42)</f>
        <v>0</v>
      </c>
      <c r="BJ82" s="214">
        <f>BH82*intermediates!$B$43/(conversions!$C$1*intermediates!$B$42)</f>
        <v>0</v>
      </c>
      <c r="BK82" s="214">
        <f t="shared" si="148"/>
        <v>0</v>
      </c>
      <c r="BL82" s="214">
        <f t="shared" si="149"/>
        <v>15745.214346785417</v>
      </c>
      <c r="BM82" s="214">
        <f t="shared" si="150"/>
        <v>13816.248281536991</v>
      </c>
      <c r="BN82" s="214">
        <f>IF(A82&lt;intermediates!$B$29,MIN(BO81+intermediates!$B$33*AN81),MIN(BO81*intermediates!$B$35,BO81+intermediates!$B$37*AN81))</f>
        <v>1624.5563032675893</v>
      </c>
      <c r="BO82" s="212">
        <f>IF(A82&lt;intermediates!$B$29,MIN(BM82,BO81+intermediates!$B$33*AN81),MIN(BM82,BO81*intermediates!$B$35,BO81+intermediates!$B$37*AN81))</f>
        <v>1624.5563032675893</v>
      </c>
      <c r="BP82" s="214">
        <f t="shared" si="151"/>
        <v>0</v>
      </c>
      <c r="BQ82" s="214">
        <f t="shared" si="152"/>
        <v>12191.691978269402</v>
      </c>
      <c r="BR82" s="212" t="str">
        <f t="shared" si="87"/>
        <v/>
      </c>
      <c r="BS82" s="212">
        <f>BP82*conversions!$C$1*intermediates!$B$42/intermediates!$B$43</f>
        <v>0</v>
      </c>
      <c r="BT82" s="214">
        <f>MIN(BT81+BS82,intermediates!$B$27*1000)</f>
        <v>0</v>
      </c>
      <c r="BU82" s="219" t="str">
        <f>IF(AND(BT82=intermediates!$B$27*1000,BT81&lt;&gt;intermediates!$B$27*1000),A82,"")</f>
        <v/>
      </c>
      <c r="BV82" s="212">
        <f>BT82*intermediates!$B$43/(conversions!$C$1*intermediates!$B$42)</f>
        <v>0</v>
      </c>
      <c r="BW82" s="214">
        <f t="shared" si="153"/>
        <v>15745.214346785417</v>
      </c>
      <c r="BX82" s="214">
        <f t="shared" si="154"/>
        <v>1624.5563032675893</v>
      </c>
      <c r="BY82" s="227">
        <f>IF(OR(BQ82&gt;0,BT82&lt;&gt;intermediates!$B$27*1000),MAX(0,(BX82-BX81)/AM81),0.000000000001)</f>
        <v>1.746247744523222E-2</v>
      </c>
      <c r="BZ82" s="322">
        <f>BH82*intermediates!$B$49*1000000</f>
        <v>0</v>
      </c>
      <c r="CA82" s="322">
        <f>BI82*conversions!$C$1*1000000*intermediates!$B$50</f>
        <v>0</v>
      </c>
      <c r="CB82" s="322">
        <f>BT82*1000000*intermediates!$B$49</f>
        <v>0</v>
      </c>
      <c r="CC82" s="214">
        <f>BW82*conversions!$C$1*1000000/L82</f>
        <v>22151.388231569399</v>
      </c>
      <c r="CD82" s="173">
        <f t="shared" si="100"/>
        <v>2026</v>
      </c>
      <c r="CE82" s="173"/>
      <c r="CF82" s="173"/>
      <c r="CG82" s="173"/>
      <c r="CH82" s="173"/>
      <c r="CI82" s="173">
        <f t="shared" si="155"/>
        <v>12191.691978269402</v>
      </c>
      <c r="CJ82" s="173">
        <f t="shared" si="156"/>
        <v>1137.5969827315903</v>
      </c>
      <c r="CK82" s="173">
        <f t="shared" si="157"/>
        <v>434.19740963418826</v>
      </c>
      <c r="CL82" s="173">
        <f t="shared" si="158"/>
        <v>357.17167288264773</v>
      </c>
      <c r="CM82" s="173"/>
      <c r="CN82" s="173"/>
      <c r="CO82" s="329">
        <f t="shared" si="169"/>
        <v>1624.5563032675893</v>
      </c>
      <c r="CP82" s="174">
        <f t="shared" si="159"/>
        <v>41.92055604300927</v>
      </c>
      <c r="CQ82" s="228">
        <f t="shared" si="160"/>
        <v>1.6666666666666667</v>
      </c>
      <c r="CR82" s="228">
        <f t="shared" si="170"/>
        <v>5</v>
      </c>
      <c r="CS82" s="214">
        <f t="shared" ca="1" si="161"/>
        <v>45.107676780935407</v>
      </c>
      <c r="CT82" s="190">
        <f t="shared" ca="1" si="162"/>
        <v>5.4394631841315055</v>
      </c>
      <c r="CU82" s="190">
        <f t="shared" ca="1" si="95"/>
        <v>45.107676780935407</v>
      </c>
      <c r="CV82" s="198">
        <f t="shared" si="174"/>
        <v>2615.1309397281348</v>
      </c>
      <c r="CW82" s="198">
        <f t="shared" ca="1" si="171"/>
        <v>2628.9208443899852</v>
      </c>
      <c r="CX82" s="198">
        <f t="shared" ca="1" si="172"/>
        <v>2622.3418417070966</v>
      </c>
      <c r="CY82" s="198">
        <f t="shared" ca="1" si="173"/>
        <v>-6.5790026828898247</v>
      </c>
      <c r="CZ82" s="199">
        <f ca="1">IF(CX82&lt;intermediates!$B$55,intermediates!$B$56+(CX82-intermediates!$B$55)*intermediates!$B$53,intermediates!$B$56+(data!CX82-intermediates!$B$55)*intermediates!$B$58)</f>
        <v>1.3951204568817657</v>
      </c>
      <c r="DG82" s="201">
        <f>IF(A82&gt;MAX(intermediates!B$31,intermediates!$B$32),DG81,DG81+intermediates!$B$60*DG$73)</f>
        <v>16274246001250</v>
      </c>
      <c r="DH82" s="201">
        <f>IF(A82&gt;MAX(intermediates!B$31,intermediates!$B$32),DH81,DH81+intermediates!$B$61*DH$73)</f>
        <v>31962882786875</v>
      </c>
      <c r="DI82" s="201">
        <f>IF(A82&gt;MAX(intermediates!B$31,intermediates!$B$32),DI81,DI81+intermediates!$B$62*DI$73)</f>
        <v>39766861757000</v>
      </c>
      <c r="DJ82" s="221"/>
      <c r="EE82" s="218"/>
      <c r="EF82" s="212">
        <f>$EF$69+intermediates!$B$90*(A82-2013)*intermediates!$B$92+intermediates!$B$91*intermediates!$B$92*(A82-2013)^2</f>
        <v>2885.5422585492188</v>
      </c>
      <c r="EH82" s="212">
        <f>IF(A82&lt;intermediates!$B$29,data!EH81,IF(A82&lt;intermediates!$B$31,data!$EH$69+(intermediates!$B$93-data!$EH$69)*(data!A82-intermediates!$B$29)/(intermediates!$B$31-intermediates!$B$29),intermediates!$B$93))</f>
        <v>0.14994482686883892</v>
      </c>
      <c r="EI82" s="212">
        <f t="shared" si="128"/>
        <v>0.14994482686883892</v>
      </c>
      <c r="EN82" s="218"/>
      <c r="EO82" s="212">
        <f t="shared" si="129"/>
        <v>2452.870124168338</v>
      </c>
      <c r="EQ82" s="212">
        <f t="shared" si="130"/>
        <v>432.67213438088083</v>
      </c>
      <c r="ET82" s="214">
        <f>IF(A82&lt;intermediates!$B$29,ET81+intermediates!$B$63,ET81+intermediates!$B$63*intermediates!$B$67)</f>
        <v>915.43422482298695</v>
      </c>
      <c r="EU82" s="215">
        <f t="shared" si="131"/>
        <v>915.43422482298695</v>
      </c>
      <c r="EV82" s="216">
        <f>data!EU82*conversions!$C$13</f>
        <v>1.0646500034691337</v>
      </c>
      <c r="EX82" s="212">
        <f>intermediates!$B$64+intermediates!$B$64*(EXP(-(data!A82-intermediates!$B$66)/intermediates!$B$65)-1)</f>
        <v>1.7210195519071863E-2</v>
      </c>
      <c r="EY82" s="217">
        <f>IF(A82&lt;intermediates!$B$29,data!EX82,data!EY81+(data!EX82-data!EX81)*intermediates!$B$68)</f>
        <v>1.7210195519071863E-2</v>
      </c>
      <c r="EZ82" s="217">
        <f t="shared" si="132"/>
        <v>1.7210195519071863E-2</v>
      </c>
      <c r="FB82" s="212">
        <f>intermediates!$B$94+intermediates!$B$95+(intermediates!$B$95*(EXP(-(data!A82-intermediates!$B$97)/intermediates!$B$96)-1))</f>
        <v>1.7458364567399181</v>
      </c>
      <c r="FC82" s="217">
        <f>IF(A82&lt;intermediates!$B$29,data!FB82,data!FC81+(data!FB82-data!FB81)*intermediates!$B$68)</f>
        <v>1.7458364567399181</v>
      </c>
      <c r="FD82" s="212">
        <f t="shared" si="133"/>
        <v>1.7458364567399181</v>
      </c>
      <c r="FF82" s="184">
        <f>intermediates!$B$98+intermediates!$B$99*EXP(-(A82-intermediates!$B$101)/intermediates!$B$100)</f>
        <v>0.87320297159322424</v>
      </c>
      <c r="FG82" s="184">
        <f t="shared" si="101"/>
        <v>0.87320297159322424</v>
      </c>
      <c r="FI82" s="184">
        <f>intermediates!$B$102+intermediates!$B$103*EXP(-(A82-intermediates!$B$105)/intermediates!$B$104)</f>
        <v>2.2066030139276112E-2</v>
      </c>
      <c r="FJ82" s="184">
        <f t="shared" si="134"/>
        <v>2.2066030139276112E-2</v>
      </c>
      <c r="FL82" s="184">
        <f>intermediates!$B$106</f>
        <v>4.5616870531049965E-2</v>
      </c>
      <c r="FM82" s="184">
        <f t="shared" si="135"/>
        <v>4.5616870531049965E-2</v>
      </c>
      <c r="FN82" s="218">
        <f>IF(A82&lt;intermediates!$B$29,0,IF(A82&lt;intermediates!$B$31,(data!A82-intermediates!$B$29)/(intermediates!$B$31-intermediates!$B$29),1))</f>
        <v>0.16666666666666666</v>
      </c>
      <c r="FO82" s="218">
        <f t="shared" si="176"/>
        <v>1309622743480987.8</v>
      </c>
      <c r="FP82" s="218">
        <f t="shared" si="177"/>
        <v>1499791899575745.8</v>
      </c>
      <c r="FQ82" s="218">
        <f t="shared" si="178"/>
        <v>25811711829618.777</v>
      </c>
      <c r="FR82" s="218">
        <f t="shared" si="179"/>
        <v>2618391375802551</v>
      </c>
      <c r="FS82" s="218">
        <f t="shared" si="180"/>
        <v>2860272540398.9092</v>
      </c>
      <c r="FT82" s="218">
        <f>intermediates!$B$69*data!EU82/intermediates!$B$71</f>
        <v>2.3300856612680247</v>
      </c>
      <c r="FU82" s="218">
        <f>BC82*conversions!$C$1*1000000</f>
        <v>5065636445732.1963</v>
      </c>
      <c r="FV82" s="218">
        <f t="shared" ref="FV82:FV145" si="184">FU82/FT82</f>
        <v>2174012968680.0845</v>
      </c>
      <c r="FX82" s="221"/>
      <c r="FY82" s="221"/>
      <c r="FZ82" s="221"/>
      <c r="GA82" s="218">
        <f t="shared" si="102"/>
        <v>357.84639801450675</v>
      </c>
      <c r="GB82" s="218">
        <f>GA82*1000000*10000*intermediates!$B$71/(intermediates!$B$72*data!EU82)</f>
        <v>1919706236356.6064</v>
      </c>
      <c r="GC82" s="218">
        <f t="shared" si="181"/>
        <v>8110258393159.5635</v>
      </c>
      <c r="GD82" s="218">
        <f t="shared" si="144"/>
        <v>15064250138595.164</v>
      </c>
      <c r="GE82" s="218">
        <f t="shared" si="182"/>
        <v>16157861042585.404</v>
      </c>
      <c r="GF82" s="218">
        <f t="shared" si="183"/>
        <v>356539848751.92487</v>
      </c>
      <c r="GG82" s="218">
        <f t="shared" si="136"/>
        <v>737071055238.31433</v>
      </c>
      <c r="GH82" s="218">
        <f t="shared" si="103"/>
        <v>9540861169382.207</v>
      </c>
      <c r="GI82" s="218">
        <f t="shared" si="145"/>
        <v>1429669764176.2656</v>
      </c>
      <c r="GJ82" s="218">
        <f>ET82*intermediates!$B$73/intermediates!$B$71</f>
        <v>3.4951284919020371</v>
      </c>
      <c r="GK82" s="218">
        <f>CL82*conversions!$C$1*1000000/data!GJ82</f>
        <v>1192231661855.1233</v>
      </c>
      <c r="GL82" s="218">
        <f>MIN(1,FN82)*(intermediates!$B$75-data!$GL$69)+data!$GL$69</f>
        <v>0.20019612779746615</v>
      </c>
      <c r="GM82" s="218">
        <f>GL82*intermediates!$B$74*(FS82+GC82+GK82+GG82+GF82+GB82+FV82)</f>
        <v>521013206453.40906</v>
      </c>
      <c r="GN82" s="218">
        <f>MIN(1,FN82)*intermediates!$B$76</f>
        <v>1.9999999999999997E-2</v>
      </c>
      <c r="GO82" s="218">
        <f t="shared" si="137"/>
        <v>357422118217.8786</v>
      </c>
      <c r="GP82" s="218">
        <f>IF(A82&gt;intermediates!$B$29,MIN(1,(A82-intermediates!$B$29)/(intermediates!$B$31-intermediates!$B$29))*intermediates!$B$77,0)</f>
        <v>2.4999999999999998E-2</v>
      </c>
      <c r="GQ82" s="218">
        <f>IF(AND(A82&gt;intermediates!$B$29+intermediates!$B$30,data!GP82&lt;intermediates!$B$77),1,0)</f>
        <v>0</v>
      </c>
      <c r="GR82" s="218">
        <f t="shared" si="104"/>
        <v>1205928219703.125</v>
      </c>
      <c r="GS82" s="218">
        <f t="shared" si="105"/>
        <v>45246168078433.711</v>
      </c>
      <c r="GT82" s="218">
        <f t="shared" si="97"/>
        <v>88003990545125</v>
      </c>
      <c r="GU82" s="218">
        <f t="shared" si="106"/>
        <v>40972789976703.125</v>
      </c>
      <c r="GV82" s="218">
        <f t="shared" si="107"/>
        <v>17871105910893.938</v>
      </c>
      <c r="GW82" s="218">
        <f t="shared" si="108"/>
        <v>2990960709691.2891</v>
      </c>
      <c r="GX82" s="218">
        <f>MIN(intermediates!$B$88,FN82*intermediates!$B$87*GO82)</f>
        <v>29785176518.156548</v>
      </c>
      <c r="GY82" s="218">
        <f t="shared" si="109"/>
        <v>327636941699.72205</v>
      </c>
      <c r="GZ82" s="218">
        <f>MIN(intermediates!$B$88-GX82,intermediates!$B$87*data!GW82*FN82)</f>
        <v>249246725807.60742</v>
      </c>
      <c r="HA82" s="218">
        <f t="shared" si="138"/>
        <v>2741713983883.6816</v>
      </c>
      <c r="HB82" s="218">
        <f t="shared" si="139"/>
        <v>279031902325.76398</v>
      </c>
      <c r="HC82" s="218">
        <f t="shared" si="110"/>
        <v>28881062755202.18</v>
      </c>
      <c r="HD82" s="218">
        <f>HC82*intermediates!$B$79/(10000*1000000000)</f>
        <v>1916.9575634585228</v>
      </c>
      <c r="HE82" s="218">
        <f>(GV82*intermediates!$B$80+GV82*GL82*intermediates!$B$82)/(10000*1000000000)</f>
        <v>562.85301488788139</v>
      </c>
      <c r="HF82" s="218">
        <f>GU82*intermediates!$B$78/(10000*1000000000)</f>
        <v>4125.9334179017214</v>
      </c>
      <c r="HG82" s="218">
        <f>HB82*intermediates!$B$81/(10000*1000000000)</f>
        <v>70.138438148553519</v>
      </c>
      <c r="HH82" s="218">
        <f t="shared" si="111"/>
        <v>21.766578912453042</v>
      </c>
      <c r="HI82" s="218">
        <f t="shared" si="112"/>
        <v>17.542863726559318</v>
      </c>
      <c r="HJ82" s="218">
        <f t="shared" si="113"/>
        <v>-37.854719235463676</v>
      </c>
      <c r="HK82" s="218">
        <f ca="1">SUM(HJ82:INDIRECT(ADDRESS(MAX(CELL("row",HJ82)-intermediates!$B$83,69),CELL("col",HJ82))))/intermediates!$B$83+SUM(HH82:INDIRECT(ADDRESS(MAX(CELL("row",HH82)-intermediates!$B$84,69),CELL("col",HH82))))/intermediates!$B$84+SUM(HI82:INDIRECT(ADDRESS(MAX(CELL("row",HI82)-intermediates!$B$85,69),CELL("col",HI82))))/intermediates!$B$85</f>
        <v>-4.8537874045927998</v>
      </c>
      <c r="HL82" s="218">
        <f t="shared" ca="1" si="163"/>
        <v>-12.210901978960852</v>
      </c>
      <c r="HM82" s="188">
        <f t="shared" si="114"/>
        <v>2026</v>
      </c>
      <c r="HQ82" s="185">
        <f t="shared" si="115"/>
        <v>1282.3941167866217</v>
      </c>
      <c r="HR82" s="185">
        <f t="shared" si="116"/>
        <v>262.16077503591913</v>
      </c>
      <c r="HS82" s="185">
        <f t="shared" si="117"/>
        <v>231.49432961758652</v>
      </c>
      <c r="HT82" s="185">
        <f t="shared" si="118"/>
        <v>143.7693247451345</v>
      </c>
      <c r="HU82" s="185">
        <f t="shared" si="119"/>
        <v>62.828156030137627</v>
      </c>
      <c r="HV82" s="185">
        <f t="shared" si="120"/>
        <v>43.100966220946049</v>
      </c>
      <c r="HW82" s="185">
        <f t="shared" si="121"/>
        <v>145.4209709277865</v>
      </c>
      <c r="HX82" s="185">
        <f t="shared" si="122"/>
        <v>172.40160883190364</v>
      </c>
      <c r="HY82" s="185">
        <f t="shared" si="123"/>
        <v>3112.5933817980031</v>
      </c>
      <c r="HZ82" s="185">
        <f t="shared" si="140"/>
        <v>2171.1686393641321</v>
      </c>
      <c r="IA82" s="185">
        <f t="shared" si="141"/>
        <v>5456.1636299940383</v>
      </c>
      <c r="IB82" s="185">
        <f t="shared" si="124"/>
        <v>2180.3588126017958</v>
      </c>
      <c r="IC82" s="185">
        <f t="shared" si="175"/>
        <v>5816.8388371114606</v>
      </c>
      <c r="ID82" s="185">
        <f t="shared" si="125"/>
        <v>4795.4227730715538</v>
      </c>
      <c r="IE82" s="184">
        <f t="shared" si="142"/>
        <v>-0.76023958058909824</v>
      </c>
      <c r="IF82" s="184">
        <f t="shared" si="143"/>
        <v>-7.5212389852835321E-2</v>
      </c>
    </row>
    <row r="83" spans="1:240" x14ac:dyDescent="0.3">
      <c r="A83" s="211">
        <v>2027</v>
      </c>
      <c r="E83" s="207">
        <v>8221263.5489999996</v>
      </c>
      <c r="F83" s="207">
        <v>8333078.318</v>
      </c>
      <c r="G83" s="207">
        <v>8444906.9269999992</v>
      </c>
      <c r="I83" s="207">
        <f t="shared" si="164"/>
        <v>8221263549</v>
      </c>
      <c r="J83" s="207">
        <f t="shared" si="164"/>
        <v>8333078318</v>
      </c>
      <c r="K83" s="207">
        <f t="shared" si="164"/>
        <v>8444906926.999999</v>
      </c>
      <c r="L83" s="187">
        <f>IF(intermediates!$B$4&gt;=2,(intermediates!$B$4-2)*K83+(1-(intermediates!$B$4-2))*J83,(intermediates!$B$4-1)*J83+(1-(intermediates!$B$4-1))*I83)</f>
        <v>8374372089.4684849</v>
      </c>
      <c r="AJ83" s="184">
        <f>IF(intermediates!$B$46=0,$AJ$74+(intermediates!$B$15-$AJ$74)*MIN(1,(data!A83-data!$A$74)/(intermediates!$B$32-data!$A$74)),IF(A83&lt;2021,$AJ$74+(intermediates!$B$15-$AJ$74)*MIN(1,(data!A83-data!$A$74)/(intermediates!$B$32-data!$A$74)),intermediates!$B$47+(intermediates!$B$15-intermediates!$B$47)*MIN(1,(data!A83-$A$77)/(intermediates!$B$32-$A$77))))</f>
        <v>22270.674862670094</v>
      </c>
      <c r="AK83" s="192">
        <f t="shared" si="146"/>
        <v>22270.674862670094</v>
      </c>
      <c r="AL83" s="192">
        <f t="shared" si="85"/>
        <v>186502917983571.81</v>
      </c>
      <c r="AM83" s="192">
        <f>data!AL83/(1000000*conversions!$C$1)</f>
        <v>15985.96439859187</v>
      </c>
      <c r="AN83" s="192">
        <f>IF(intermediates!$B$13=1,($AJ$74+(27400-$AJ$74)*MIN(1,(data!A83-data!$A$74)/(intermediates!$B$32-data!$A$74)))*L83/(1000000*conversions!$C$1),data!AM83)</f>
        <v>15985.96439859187</v>
      </c>
      <c r="AV83" s="214">
        <f>IF(A83&lt;intermediates!$B$29,0,IF(A83&lt;intermediates!$B$31,(data!A83-intermediates!$B$29)*intermediates!$B$26/(intermediates!$B$31-intermediates!$B$29),intermediates!$B$26))</f>
        <v>2</v>
      </c>
      <c r="AW83" s="212">
        <f>MIN(AW82+intermediates!$B$16,intermediates!$B$17*data!$AW$74)</f>
        <v>1161.1972439187996</v>
      </c>
      <c r="AX83" s="212">
        <f>AV83*1000/conversions!$C$16/intermediates!$B$40</f>
        <v>1637.4116993612563</v>
      </c>
      <c r="AY83" s="212">
        <f>AX83*(1-intermediates!$B$39)*intermediates!$B$28/(conversions!$C$2)</f>
        <v>428.60600745917719</v>
      </c>
      <c r="AZ83" s="213">
        <f>IF(A83&lt;intermediates!$B$29,0,MIN(intermediates!$B$25,intermediates!$B$25*(A83-intermediates!$B$29)/(intermediates!$B$31-intermediates!$B$29)))</f>
        <v>0</v>
      </c>
      <c r="BA83" s="212">
        <f>IF(A83&lt;intermediates!$B$29,data!$BA$74,IF(intermediates!$B$23&gt;data!$BA$74,MIN(intermediates!$B$23,data!$BA$74+(intermediates!$B$23-data!$BA$74)*((data!A83-intermediates!$B$29)/(intermediates!$B$31-intermediates!$B$29))),MAX(intermediates!$B$23,data!$BA$74+(intermediates!$B$23-data!$BA$74)*((data!A83-intermediates!$B$29)/(intermediates!$B$31-intermediates!$B$29)))))</f>
        <v>2.9673409892569787E-2</v>
      </c>
      <c r="BB83" s="212">
        <f t="shared" si="147"/>
        <v>474.35807412744441</v>
      </c>
      <c r="BC83" s="212">
        <f t="shared" si="166"/>
        <v>474.35807412744441</v>
      </c>
      <c r="BD83" s="212">
        <f t="shared" si="167"/>
        <v>0</v>
      </c>
      <c r="BE83" s="214">
        <f>MAX(0,MIN(1,(data!A83-intermediates!$B$29)/(intermediates!$B$31-intermediates!$B$29)))*((intermediates!$B$38*L83)-$BE$69*1000000000)/1000000000+$BE$69</f>
        <v>387.03843102865096</v>
      </c>
      <c r="BF83" s="214">
        <f t="shared" si="99"/>
        <v>387.03843102865096</v>
      </c>
      <c r="BG83" s="214">
        <f t="shared" si="168"/>
        <v>0</v>
      </c>
      <c r="BH83" s="214">
        <f>BD83*conversions!$C$2/conversions!$C$17+BG83*conversions!$C$6/conversions!$C$10</f>
        <v>0</v>
      </c>
      <c r="BI83" s="214">
        <f>BH83*intermediates!$B$41*conversions!$C$11/(conversions!$C$2*conversions!$C$6*intermediates!$B$42)</f>
        <v>0</v>
      </c>
      <c r="BJ83" s="214">
        <f>BH83*intermediates!$B$43/(conversions!$C$1*intermediates!$B$42)</f>
        <v>0</v>
      </c>
      <c r="BK83" s="214">
        <f t="shared" si="148"/>
        <v>0</v>
      </c>
      <c r="BL83" s="214">
        <f t="shared" si="149"/>
        <v>15985.96439859187</v>
      </c>
      <c r="BM83" s="214">
        <f t="shared" si="150"/>
        <v>13921.803073086448</v>
      </c>
      <c r="BN83" s="214">
        <f>IF(A83&lt;intermediates!$B$29,MIN(BO82+intermediates!$B$33*AN82),MIN(BO82*intermediates!$B$35,BO82+intermediates!$B$37*AN82))</f>
        <v>1949.4675639211075</v>
      </c>
      <c r="BO83" s="212">
        <f>IF(A83&lt;intermediates!$B$29,MIN(BM83,BO82+intermediates!$B$33*AN82),MIN(BM83,BO82*intermediates!$B$35,BO82+intermediates!$B$37*AN82))</f>
        <v>1949.4675639211075</v>
      </c>
      <c r="BP83" s="214">
        <f t="shared" si="151"/>
        <v>0</v>
      </c>
      <c r="BQ83" s="214">
        <f t="shared" si="152"/>
        <v>11972.335509165341</v>
      </c>
      <c r="BR83" s="212" t="str">
        <f t="shared" si="87"/>
        <v/>
      </c>
      <c r="BS83" s="212">
        <f>BP83*conversions!$C$1*intermediates!$B$42/intermediates!$B$43</f>
        <v>0</v>
      </c>
      <c r="BT83" s="214">
        <f>MIN(BT82+BS83,intermediates!$B$27*1000)</f>
        <v>0</v>
      </c>
      <c r="BU83" s="219" t="str">
        <f>IF(AND(BT83=intermediates!$B$27*1000,BT82&lt;&gt;intermediates!$B$27*1000),A83,"")</f>
        <v/>
      </c>
      <c r="BV83" s="212">
        <f>BT83*intermediates!$B$43/(conversions!$C$1*intermediates!$B$42)</f>
        <v>0</v>
      </c>
      <c r="BW83" s="214">
        <f t="shared" si="153"/>
        <v>15985.96439859187</v>
      </c>
      <c r="BX83" s="214">
        <f t="shared" si="154"/>
        <v>1949.4675639211075</v>
      </c>
      <c r="BY83" s="227">
        <f>IF(OR(BQ83&gt;0,BT83&lt;&gt;intermediates!$B$27*1000),MAX(0,(BX83-BX82)/AM82),0.000000000001)</f>
        <v>2.0635556525138883E-2</v>
      </c>
      <c r="BZ83" s="322">
        <f>BH83*intermediates!$B$49*1000000</f>
        <v>0</v>
      </c>
      <c r="CA83" s="322">
        <f>BI83*conversions!$C$1*1000000*intermediates!$B$50</f>
        <v>0</v>
      </c>
      <c r="CB83" s="322">
        <f>BT83*1000000*intermediates!$B$49</f>
        <v>0</v>
      </c>
      <c r="CC83" s="214">
        <f>BW83*conversions!$C$1*1000000/L83</f>
        <v>22270.674862670094</v>
      </c>
      <c r="CD83" s="173">
        <f t="shared" si="100"/>
        <v>2027</v>
      </c>
      <c r="CE83" s="173"/>
      <c r="CF83" s="173"/>
      <c r="CG83" s="173"/>
      <c r="CH83" s="173"/>
      <c r="CI83" s="173">
        <f t="shared" si="155"/>
        <v>11972.335509165341</v>
      </c>
      <c r="CJ83" s="173">
        <f t="shared" si="156"/>
        <v>1161.1972439187996</v>
      </c>
      <c r="CK83" s="173">
        <f t="shared" si="157"/>
        <v>474.35807412744441</v>
      </c>
      <c r="CL83" s="173">
        <f t="shared" si="158"/>
        <v>428.60600745917719</v>
      </c>
      <c r="CM83" s="173"/>
      <c r="CN83" s="173"/>
      <c r="CO83" s="329">
        <f t="shared" si="169"/>
        <v>1949.4675639211075</v>
      </c>
      <c r="CP83" s="174">
        <f t="shared" si="159"/>
        <v>41.166309202385051</v>
      </c>
      <c r="CQ83" s="228">
        <f t="shared" si="160"/>
        <v>2</v>
      </c>
      <c r="CR83" s="228">
        <f t="shared" si="170"/>
        <v>7</v>
      </c>
      <c r="CS83" s="214">
        <f t="shared" ca="1" si="161"/>
        <v>45.047674998318975</v>
      </c>
      <c r="CT83" s="190">
        <f t="shared" ca="1" si="162"/>
        <v>5.3792301699813914</v>
      </c>
      <c r="CU83" s="190">
        <f t="shared" ca="1" si="95"/>
        <v>45.047674998318975</v>
      </c>
      <c r="CV83" s="198">
        <f>CV82+CP83</f>
        <v>2656.2972489305198</v>
      </c>
      <c r="CW83" s="198">
        <f t="shared" ca="1" si="171"/>
        <v>2675.9685193883042</v>
      </c>
      <c r="CX83" s="198">
        <f t="shared" ca="1" si="172"/>
        <v>2667.3895167054156</v>
      </c>
      <c r="CY83" s="198">
        <f t="shared" ca="1" si="173"/>
        <v>-8.5790026828898256</v>
      </c>
      <c r="CZ83" s="199">
        <f ca="1">IF(CX83&lt;intermediates!$B$55,intermediates!$B$56+(CX83-intermediates!$B$55)*intermediates!$B$53,intermediates!$B$56+(data!CX83-intermediates!$B$55)*intermediates!$B$58)</f>
        <v>1.4196173689282325</v>
      </c>
      <c r="DG83" s="201">
        <f>IF(A83&gt;MAX(intermediates!B$31,intermediates!$B$32),DG82,DG82+intermediates!$B$60*DG$73)</f>
        <v>16347676942500</v>
      </c>
      <c r="DH83" s="201">
        <f>IF(A83&gt;MAX(intermediates!B$31,intermediates!$B$32),DH82,DH82+intermediates!$B$61*DH$73)</f>
        <v>31884955503750</v>
      </c>
      <c r="DI83" s="201">
        <f>IF(A83&gt;MAX(intermediates!B$31,intermediates!$B$32),DI82,DI82+intermediates!$B$62*DI$73)</f>
        <v>39741920150000</v>
      </c>
      <c r="DJ83" s="221"/>
      <c r="EE83" s="218"/>
      <c r="EF83" s="212">
        <f>$EF$69+intermediates!$B$90*(A83-2013)*intermediates!$B$92+intermediates!$B$91*intermediates!$B$92*(A83-2013)^2</f>
        <v>2892.414548549219</v>
      </c>
      <c r="EH83" s="212">
        <f>IF(A83&lt;intermediates!$B$29,data!EH82,IF(A83&lt;intermediates!$B$31,data!$EH$69+(intermediates!$B$93-data!$EH$69)*(data!A83-intermediates!$B$29)/(intermediates!$B$31-intermediates!$B$29),intermediates!$B$93))</f>
        <v>0.14495591873212155</v>
      </c>
      <c r="EI83" s="212">
        <f t="shared" si="128"/>
        <v>0.14495591873212155</v>
      </c>
      <c r="EN83" s="218"/>
      <c r="EO83" s="212">
        <f t="shared" si="129"/>
        <v>2473.1419403101122</v>
      </c>
      <c r="EQ83" s="212">
        <f t="shared" si="130"/>
        <v>419.27260823910683</v>
      </c>
      <c r="ET83" s="214">
        <f>IF(A83&lt;intermediates!$B$29,ET82+intermediates!$B$63,ET82+intermediates!$B$63*intermediates!$B$67)</f>
        <v>925.40981421442973</v>
      </c>
      <c r="EU83" s="215">
        <f t="shared" si="131"/>
        <v>925.40981421442973</v>
      </c>
      <c r="EV83" s="216">
        <f>data!EU83*conversions!$C$13</f>
        <v>1.0762516139313818</v>
      </c>
      <c r="EX83" s="212">
        <f>intermediates!$B$64+intermediates!$B$64*(EXP(-(data!A83-intermediates!$B$66)/intermediates!$B$65)-1)</f>
        <v>1.6890249611630093E-2</v>
      </c>
      <c r="EY83" s="217">
        <f>IF(A83&lt;intermediates!$B$29,data!EX83,data!EY82+(data!EX83-data!EX82)*intermediates!$B$68)</f>
        <v>1.6890249611630093E-2</v>
      </c>
      <c r="EZ83" s="217">
        <f t="shared" si="132"/>
        <v>1.6890249611630093E-2</v>
      </c>
      <c r="FB83" s="212">
        <f>intermediates!$B$94+intermediates!$B$95+(intermediates!$B$95*(EXP(-(data!A83-intermediates!$B$97)/intermediates!$B$96)-1))</f>
        <v>1.7391323838482673</v>
      </c>
      <c r="FC83" s="217">
        <f>IF(A83&lt;intermediates!$B$29,data!FB83,data!FC82+(data!FB83-data!FB82)*intermediates!$B$68)</f>
        <v>1.7391323838482673</v>
      </c>
      <c r="FD83" s="212">
        <f t="shared" si="133"/>
        <v>1.7391323838482673</v>
      </c>
      <c r="FF83" s="184">
        <f>intermediates!$B$98+intermediates!$B$99*EXP(-(A83-intermediates!$B$101)/intermediates!$B$100)</f>
        <v>0.8740081181880448</v>
      </c>
      <c r="FG83" s="184">
        <f t="shared" si="101"/>
        <v>0.8740081181880448</v>
      </c>
      <c r="FI83" s="184">
        <f>intermediates!$B$102+intermediates!$B$103*EXP(-(A83-intermediates!$B$105)/intermediates!$B$104)</f>
        <v>2.1817904983488439E-2</v>
      </c>
      <c r="FJ83" s="184">
        <f t="shared" si="134"/>
        <v>2.1817904983488439E-2</v>
      </c>
      <c r="FL83" s="184">
        <f>intermediates!$B$106</f>
        <v>4.5616870531049965E-2</v>
      </c>
      <c r="FM83" s="184">
        <f t="shared" si="135"/>
        <v>4.5616870531049965E-2</v>
      </c>
      <c r="FN83" s="218">
        <f>IF(A83&lt;intermediates!$B$29,0,IF(A83&lt;intermediates!$B$31,(data!A83-intermediates!$B$29)/(intermediates!$B$31-intermediates!$B$29),1))</f>
        <v>0.2</v>
      </c>
      <c r="FO83" s="218">
        <f t="shared" si="176"/>
        <v>1281567862335424</v>
      </c>
      <c r="FP83" s="218">
        <f t="shared" si="177"/>
        <v>1466311165384040.3</v>
      </c>
      <c r="FQ83" s="218">
        <f t="shared" si="178"/>
        <v>24766361591656.656</v>
      </c>
      <c r="FR83" s="218">
        <f t="shared" si="179"/>
        <v>2550109232517677</v>
      </c>
      <c r="FS83" s="218">
        <f t="shared" si="180"/>
        <v>2755653974431.249</v>
      </c>
      <c r="FT83" s="218">
        <f>intermediates!$B$69*data!EU83/intermediates!$B$71</f>
        <v>2.3554768659809495</v>
      </c>
      <c r="FU83" s="218">
        <f>BC83*conversions!$C$1*1000000</f>
        <v>5534177531486.8516</v>
      </c>
      <c r="FV83" s="218">
        <f t="shared" si="184"/>
        <v>2349493476847.2529</v>
      </c>
      <c r="FX83" s="221"/>
      <c r="FY83" s="221"/>
      <c r="FZ83" s="221"/>
      <c r="GA83" s="218">
        <f t="shared" si="102"/>
        <v>387.03843102865096</v>
      </c>
      <c r="GB83" s="218">
        <f>GA83*1000000*10000*intermediates!$B$71/(intermediates!$B$72*data!EU83)</f>
        <v>2053928212045.2224</v>
      </c>
      <c r="GC83" s="218">
        <f t="shared" si="181"/>
        <v>8168833785677.9971</v>
      </c>
      <c r="GD83" s="218">
        <f t="shared" si="144"/>
        <v>15327909449001.723</v>
      </c>
      <c r="GE83" s="218">
        <f t="shared" si="182"/>
        <v>16436286756734.707</v>
      </c>
      <c r="GF83" s="218">
        <f t="shared" si="183"/>
        <v>358605342739.80719</v>
      </c>
      <c r="GG83" s="218">
        <f t="shared" si="136"/>
        <v>749771964993.17822</v>
      </c>
      <c r="GH83" s="218">
        <f t="shared" si="103"/>
        <v>9553699001769.6738</v>
      </c>
      <c r="GI83" s="218">
        <f t="shared" si="145"/>
        <v>1370788758339.5723</v>
      </c>
      <c r="GJ83" s="218">
        <f>ET83*intermediates!$B$73/intermediates!$B$71</f>
        <v>3.5332152989714243</v>
      </c>
      <c r="GK83" s="218">
        <f>CL83*conversions!$C$1*1000000/data!GJ83</f>
        <v>1415255793161.7598</v>
      </c>
      <c r="GL83" s="218">
        <f>MIN(1,FN83)*(intermediates!$B$75-data!$GL$69)+data!$GL$69</f>
        <v>0.23218828268556752</v>
      </c>
      <c r="GM83" s="218">
        <f>GL83*intermediates!$B$74*(FS83+GC83+GK83+GG83+GF83+GB83+FV83)</f>
        <v>621737851192.31958</v>
      </c>
      <c r="GN83" s="218">
        <f>MIN(1,FN83)*intermediates!$B$76</f>
        <v>2.4E-2</v>
      </c>
      <c r="GO83" s="218">
        <f t="shared" si="137"/>
        <v>443358729626.13092</v>
      </c>
      <c r="GP83" s="218">
        <f>IF(A83&gt;intermediates!$B$29,MIN(1,(A83-intermediates!$B$29)/(intermediates!$B$31-intermediates!$B$29))*intermediates!$B$77,0)</f>
        <v>0.03</v>
      </c>
      <c r="GQ83" s="218">
        <f>IF(AND(A83&gt;intermediates!$B$29+intermediates!$B$30,data!GP83&lt;intermediates!$B$77),1,0)</f>
        <v>0</v>
      </c>
      <c r="GR83" s="218">
        <f t="shared" si="104"/>
        <v>1446978973387.5</v>
      </c>
      <c r="GS83" s="218">
        <f t="shared" si="105"/>
        <v>45129979695759.078</v>
      </c>
      <c r="GT83" s="218">
        <f t="shared" si="97"/>
        <v>87974552596250</v>
      </c>
      <c r="GU83" s="218">
        <f t="shared" si="106"/>
        <v>41188899123387.5</v>
      </c>
      <c r="GV83" s="218">
        <f t="shared" si="107"/>
        <v>18473280401088.789</v>
      </c>
      <c r="GW83" s="218">
        <f t="shared" si="108"/>
        <v>3102652750490.9219</v>
      </c>
      <c r="GX83" s="218">
        <f>MIN(intermediates!$B$88,FN83*intermediates!$B$87*GO83)</f>
        <v>44335872962.613098</v>
      </c>
      <c r="GY83" s="218">
        <f t="shared" si="109"/>
        <v>399022856663.51782</v>
      </c>
      <c r="GZ83" s="218">
        <f>MIN(intermediates!$B$88-GX83,intermediates!$B$87*data!GW83*FN83)</f>
        <v>310265275049.09222</v>
      </c>
      <c r="HA83" s="218">
        <f t="shared" si="138"/>
        <v>2792387475441.8296</v>
      </c>
      <c r="HB83" s="218">
        <f t="shared" si="139"/>
        <v>354601148011.70532</v>
      </c>
      <c r="HC83" s="218">
        <f t="shared" si="110"/>
        <v>27957771923762.004</v>
      </c>
      <c r="HD83" s="218">
        <f>HC83*intermediates!$B$79/(10000*1000000000)</f>
        <v>1855.6748690645172</v>
      </c>
      <c r="HE83" s="218">
        <f>(GV83*intermediates!$B$80+GV83*GL83*intermediates!$B$82)/(10000*1000000000)</f>
        <v>586.09552164719457</v>
      </c>
      <c r="HF83" s="218">
        <f>GU83*intermediates!$B$78/(10000*1000000000)</f>
        <v>4147.695469027024</v>
      </c>
      <c r="HG83" s="218">
        <f>HB83*intermediates!$B$81/(10000*1000000000)</f>
        <v>89.133788932093097</v>
      </c>
      <c r="HH83" s="218">
        <f t="shared" si="111"/>
        <v>21.762051125302605</v>
      </c>
      <c r="HI83" s="218">
        <f t="shared" si="112"/>
        <v>18.995350783539578</v>
      </c>
      <c r="HJ83" s="218">
        <f t="shared" si="113"/>
        <v>-38.040187634692415</v>
      </c>
      <c r="HK83" s="218">
        <f ca="1">SUM(HJ83:INDIRECT(ADDRESS(MAX(CELL("row",HJ83)-intermediates!$B$83,69),CELL("col",HJ83))))/intermediates!$B$83+SUM(HH83:INDIRECT(ADDRESS(MAX(CELL("row",HH83)-intermediates!$B$84,69),CELL("col",HH83))))/intermediates!$B$84+SUM(HI83:INDIRECT(ADDRESS(MAX(CELL("row",HI83)-intermediates!$B$85,69),CELL("col",HI83))))/intermediates!$B$85</f>
        <v>-5.8813657959339247</v>
      </c>
      <c r="HL83" s="218">
        <f t="shared" ca="1" si="163"/>
        <v>-18.092267774894776</v>
      </c>
      <c r="HM83" s="188">
        <f t="shared" si="114"/>
        <v>2027</v>
      </c>
      <c r="HQ83" s="185">
        <f t="shared" si="115"/>
        <v>1273.1791942838513</v>
      </c>
      <c r="HR83" s="185">
        <f t="shared" si="116"/>
        <v>280.55756918204639</v>
      </c>
      <c r="HS83" s="185">
        <f t="shared" si="117"/>
        <v>245.26354813254824</v>
      </c>
      <c r="HT83" s="185">
        <f t="shared" si="118"/>
        <v>168.99843690269859</v>
      </c>
      <c r="HU83" s="185">
        <f t="shared" si="119"/>
        <v>74.242921684147518</v>
      </c>
      <c r="HV83" s="185">
        <f t="shared" si="120"/>
        <v>52.942325094880104</v>
      </c>
      <c r="HW83" s="185">
        <f t="shared" si="121"/>
        <v>172.78656333018739</v>
      </c>
      <c r="HX83" s="185">
        <f t="shared" si="122"/>
        <v>163.68854210137863</v>
      </c>
      <c r="HY83" s="185">
        <f t="shared" si="123"/>
        <v>2957.3992326902398</v>
      </c>
      <c r="HZ83" s="185">
        <f t="shared" si="140"/>
        <v>2267.9705586103601</v>
      </c>
      <c r="IA83" s="185">
        <f t="shared" si="141"/>
        <v>5389.0583334019784</v>
      </c>
      <c r="IB83" s="185">
        <f t="shared" si="124"/>
        <v>2190.196798328433</v>
      </c>
      <c r="IC83" s="185">
        <f t="shared" si="175"/>
        <v>5759.5521110062464</v>
      </c>
      <c r="ID83" s="185">
        <f t="shared" si="125"/>
        <v>4745.6597014573772</v>
      </c>
      <c r="IE83" s="184">
        <f t="shared" si="142"/>
        <v>-0.73574208267053631</v>
      </c>
      <c r="IF83" s="184">
        <f t="shared" si="143"/>
        <v>-7.8070026279063051E-2</v>
      </c>
    </row>
    <row r="84" spans="1:240" x14ac:dyDescent="0.3">
      <c r="A84" s="211">
        <v>2028</v>
      </c>
      <c r="E84" s="207">
        <v>8271186.568</v>
      </c>
      <c r="F84" s="207">
        <v>8405863.3010000009</v>
      </c>
      <c r="G84" s="207">
        <v>8540558.6790000107</v>
      </c>
      <c r="I84" s="207">
        <f t="shared" si="164"/>
        <v>8271186568</v>
      </c>
      <c r="J84" s="207">
        <f t="shared" si="164"/>
        <v>8405863301.000001</v>
      </c>
      <c r="K84" s="207">
        <f t="shared" si="164"/>
        <v>8540558679.0000105</v>
      </c>
      <c r="L84" s="187">
        <f>IF(intermediates!$B$4&gt;=2,(intermediates!$B$4-2)*K84+(1-(intermediates!$B$4-2))*J84,(intermediates!$B$4-1)*J84+(1-(intermediates!$B$4-1))*I84)</f>
        <v>8455600843.1793346</v>
      </c>
      <c r="AJ84" s="184">
        <f>IF(intermediates!$B$46=0,$AJ$74+(intermediates!$B$15-$AJ$74)*MIN(1,(data!A84-data!$A$74)/(intermediates!$B$32-data!$A$74)),IF(A84&lt;2021,$AJ$74+(intermediates!$B$15-$AJ$74)*MIN(1,(data!A84-data!$A$74)/(intermediates!$B$32-data!$A$74)),intermediates!$B$47+(intermediates!$B$15-intermediates!$B$47)*MIN(1,(data!A84-$A$77)/(intermediates!$B$32-$A$77))))</f>
        <v>22389.961493770788</v>
      </c>
      <c r="AK84" s="192">
        <f t="shared" si="146"/>
        <v>22389.961493770788</v>
      </c>
      <c r="AL84" s="192">
        <f t="shared" si="85"/>
        <v>189320577285481.13</v>
      </c>
      <c r="AM84" s="192">
        <f>data!AL84/(1000000*conversions!$C$1)</f>
        <v>16227.478053041241</v>
      </c>
      <c r="AN84" s="192">
        <f>IF(intermediates!$B$13=1,($AJ$74+(27400-$AJ$74)*MIN(1,(data!A84-data!$A$74)/(intermediates!$B$32-data!$A$74)))*L84/(1000000*conversions!$C$1),data!AM84)</f>
        <v>16227.478053041241</v>
      </c>
      <c r="AV84" s="214">
        <f>IF(A84&lt;intermediates!$B$29,0,IF(A84&lt;intermediates!$B$31,(data!A84-intermediates!$B$29)*intermediates!$B$26/(intermediates!$B$31-intermediates!$B$29),intermediates!$B$26))</f>
        <v>2.3333333333333335</v>
      </c>
      <c r="AW84" s="212">
        <f>MIN(AW83+intermediates!$B$16,intermediates!$B$17*data!$AW$74)</f>
        <v>1184.7975051060089</v>
      </c>
      <c r="AX84" s="212">
        <f>AV84*1000/conversions!$C$16/intermediates!$B$40</f>
        <v>1910.3136492547992</v>
      </c>
      <c r="AY84" s="212">
        <f>AX84*(1-intermediates!$B$39)*intermediates!$B$28/(conversions!$C$2)</f>
        <v>500.04034203570677</v>
      </c>
      <c r="AZ84" s="213">
        <f>IF(A84&lt;intermediates!$B$29,0,MIN(intermediates!$B$25,intermediates!$B$25*(A84-intermediates!$B$29)/(intermediates!$B$31-intermediates!$B$29)))</f>
        <v>0</v>
      </c>
      <c r="BA84" s="212">
        <f>IF(A84&lt;intermediates!$B$29,data!$BA$74,IF(intermediates!$B$23&gt;data!$BA$74,MIN(intermediates!$B$23,data!$BA$74+(intermediates!$B$23-data!$BA$74)*((data!A84-intermediates!$B$29)/(intermediates!$B$31-intermediates!$B$29))),MAX(intermediates!$B$23,data!$BA$74+(intermediates!$B$23-data!$BA$74)*((data!A84-intermediates!$B$29)/(intermediates!$B$31-intermediates!$B$29)))))</f>
        <v>3.1770351147046044E-2</v>
      </c>
      <c r="BB84" s="212">
        <f t="shared" si="147"/>
        <v>515.55267597610327</v>
      </c>
      <c r="BC84" s="212">
        <f t="shared" si="166"/>
        <v>515.55267597610327</v>
      </c>
      <c r="BD84" s="212">
        <f t="shared" si="167"/>
        <v>0</v>
      </c>
      <c r="BE84" s="214">
        <f>MAX(0,MIN(1,(data!A84-intermediates!$B$29)/(intermediates!$B$31-intermediates!$B$29)))*((intermediates!$B$38*L84)-$BE$69*1000000000)/1000000000+$BE$69</f>
        <v>416.89752301833869</v>
      </c>
      <c r="BF84" s="214">
        <f t="shared" si="99"/>
        <v>416.89752301833869</v>
      </c>
      <c r="BG84" s="214">
        <f t="shared" si="168"/>
        <v>0</v>
      </c>
      <c r="BH84" s="214">
        <f>BD84*conversions!$C$2/conversions!$C$17+BG84*conversions!$C$6/conversions!$C$10</f>
        <v>0</v>
      </c>
      <c r="BI84" s="214">
        <f>BH84*intermediates!$B$41*conversions!$C$11/(conversions!$C$2*conversions!$C$6*intermediates!$B$42)</f>
        <v>0</v>
      </c>
      <c r="BJ84" s="214">
        <f>BH84*intermediates!$B$43/(conversions!$C$1*intermediates!$B$42)</f>
        <v>0</v>
      </c>
      <c r="BK84" s="214">
        <f t="shared" si="148"/>
        <v>0</v>
      </c>
      <c r="BL84" s="214">
        <f t="shared" si="149"/>
        <v>16227.478053041241</v>
      </c>
      <c r="BM84" s="214">
        <f t="shared" si="150"/>
        <v>14027.087529923421</v>
      </c>
      <c r="BN84" s="214">
        <f>IF(A84&lt;intermediates!$B$29,MIN(BO83+intermediates!$B$33*AN83),MIN(BO83*intermediates!$B$35,BO83+intermediates!$B$37*AN83))</f>
        <v>2339.3610767053292</v>
      </c>
      <c r="BO84" s="212">
        <f>IF(A84&lt;intermediates!$B$29,MIN(BM84,BO83+intermediates!$B$33*AN83),MIN(BM84,BO83*intermediates!$B$35,BO83+intermediates!$B$37*AN83))</f>
        <v>2339.3610767053292</v>
      </c>
      <c r="BP84" s="214">
        <f t="shared" si="151"/>
        <v>0</v>
      </c>
      <c r="BQ84" s="214">
        <f t="shared" si="152"/>
        <v>11687.726453218093</v>
      </c>
      <c r="BR84" s="212" t="str">
        <f t="shared" si="87"/>
        <v/>
      </c>
      <c r="BS84" s="212">
        <f>BP84*conversions!$C$1*intermediates!$B$42/intermediates!$B$43</f>
        <v>0</v>
      </c>
      <c r="BT84" s="214">
        <f>MIN(BT83+BS84,intermediates!$B$27*1000)</f>
        <v>0</v>
      </c>
      <c r="BU84" s="219" t="str">
        <f>IF(AND(BT84=intermediates!$B$27*1000,BT83&lt;&gt;intermediates!$B$27*1000),A84,"")</f>
        <v/>
      </c>
      <c r="BV84" s="212">
        <f>BT84*intermediates!$B$43/(conversions!$C$1*intermediates!$B$42)</f>
        <v>0</v>
      </c>
      <c r="BW84" s="214">
        <f t="shared" si="153"/>
        <v>16227.478053041241</v>
      </c>
      <c r="BX84" s="214">
        <f t="shared" si="154"/>
        <v>2339.3610767053292</v>
      </c>
      <c r="BY84" s="227">
        <f>IF(OR(BQ84&gt;0,BT84&lt;&gt;intermediates!$B$27*1000),MAX(0,(BX84-BX83)/AM83),0.000000000001)</f>
        <v>2.43897398406921E-2</v>
      </c>
      <c r="BZ84" s="322">
        <f>BH84*intermediates!$B$49*1000000</f>
        <v>0</v>
      </c>
      <c r="CA84" s="322">
        <f>BI84*conversions!$C$1*1000000*intermediates!$B$50</f>
        <v>0</v>
      </c>
      <c r="CB84" s="322">
        <f>BT84*1000000*intermediates!$B$49</f>
        <v>0</v>
      </c>
      <c r="CC84" s="214">
        <f>BW84*conversions!$C$1*1000000/L84</f>
        <v>22389.961493770788</v>
      </c>
      <c r="CD84" s="173">
        <f t="shared" si="100"/>
        <v>2028</v>
      </c>
      <c r="CE84" s="173"/>
      <c r="CF84" s="173"/>
      <c r="CG84" s="173"/>
      <c r="CH84" s="173"/>
      <c r="CI84" s="173">
        <f t="shared" si="155"/>
        <v>11687.726453218093</v>
      </c>
      <c r="CJ84" s="173">
        <f t="shared" si="156"/>
        <v>1184.7975051060089</v>
      </c>
      <c r="CK84" s="173">
        <f t="shared" si="157"/>
        <v>515.55267597610327</v>
      </c>
      <c r="CL84" s="173">
        <f t="shared" si="158"/>
        <v>500.04034203570677</v>
      </c>
      <c r="CM84" s="173"/>
      <c r="CN84" s="173"/>
      <c r="CO84" s="329">
        <f t="shared" si="169"/>
        <v>2339.3610767053292</v>
      </c>
      <c r="CP84" s="174">
        <f t="shared" si="159"/>
        <v>40.187694429189463</v>
      </c>
      <c r="CQ84" s="228">
        <f t="shared" si="160"/>
        <v>2.3333333333333335</v>
      </c>
      <c r="CR84" s="228">
        <f t="shared" si="170"/>
        <v>9.3333333333333339</v>
      </c>
      <c r="CS84" s="214">
        <f t="shared" ca="1" si="161"/>
        <v>44.753444923200988</v>
      </c>
      <c r="CT84" s="190">
        <f t="shared" ca="1" si="162"/>
        <v>5.2927575169659429</v>
      </c>
      <c r="CU84" s="190">
        <f t="shared" ca="1" si="95"/>
        <v>44.753444923200988</v>
      </c>
      <c r="CV84" s="198">
        <f t="shared" si="174"/>
        <v>2696.4849433597092</v>
      </c>
      <c r="CW84" s="198">
        <f t="shared" ca="1" si="171"/>
        <v>2723.0552976448384</v>
      </c>
      <c r="CX84" s="198">
        <f t="shared" ca="1" si="172"/>
        <v>2712.1429616286168</v>
      </c>
      <c r="CY84" s="198">
        <f ca="1">CY83+IF(HK84&gt;0,-HK84,0)-CQ84</f>
        <v>-10.91233601622316</v>
      </c>
      <c r="CZ84" s="199">
        <f ca="1">IF(CX84&lt;intermediates!$B$55,intermediates!$B$56+(CX84-intermediates!$B$55)*intermediates!$B$53,intermediates!$B$56+(data!CX84-intermediates!$B$55)*intermediates!$B$58)</f>
        <v>1.4439542787487945</v>
      </c>
      <c r="DG84" s="201">
        <f>IF(A84&gt;MAX(intermediates!B$31,intermediates!$B$32),DG83,DG83+intermediates!$B$60*DG$73)</f>
        <v>16421107883750</v>
      </c>
      <c r="DH84" s="201">
        <f>IF(A84&gt;MAX(intermediates!B$31,intermediates!$B$32),DH83,DH83+intermediates!$B$61*DH$73)</f>
        <v>31807028220625</v>
      </c>
      <c r="DI84" s="201">
        <f>IF(A84&gt;MAX(intermediates!B$31,intermediates!$B$32),DI83,DI83+intermediates!$B$62*DI$73)</f>
        <v>39716978543000</v>
      </c>
      <c r="DJ84" s="221"/>
      <c r="EE84" s="218"/>
      <c r="EF84" s="212">
        <f>$EF$69+intermediates!$B$90*(A84-2013)*intermediates!$B$92+intermediates!$B$91*intermediates!$B$92*(A84-2013)^2</f>
        <v>2899.2054385492188</v>
      </c>
      <c r="EH84" s="212">
        <f>IF(A84&lt;intermediates!$B$29,data!EH83,IF(A84&lt;intermediates!$B$31,data!$EH$69+(intermediates!$B$93-data!$EH$69)*(data!A84-intermediates!$B$29)/(intermediates!$B$31-intermediates!$B$29),intermediates!$B$93))</f>
        <v>0.1399670105954042</v>
      </c>
      <c r="EI84" s="212">
        <f t="shared" si="128"/>
        <v>0.1399670105954042</v>
      </c>
      <c r="EN84" s="218"/>
      <c r="EO84" s="212">
        <f t="shared" si="129"/>
        <v>2493.412320213547</v>
      </c>
      <c r="EQ84" s="212">
        <f t="shared" si="130"/>
        <v>405.79311833567181</v>
      </c>
      <c r="ET84" s="214">
        <f>IF(A84&lt;intermediates!$B$29,ET83+intermediates!$B$63,ET83+intermediates!$B$63*intermediates!$B$67)</f>
        <v>935.38540360587251</v>
      </c>
      <c r="EU84" s="215">
        <f t="shared" si="131"/>
        <v>935.38540360587251</v>
      </c>
      <c r="EV84" s="216">
        <f>data!EU84*conversions!$C$13</f>
        <v>1.0878532243936296</v>
      </c>
      <c r="EX84" s="212">
        <f>intermediates!$B$64+intermediates!$B$64*(EXP(-(data!A84-intermediates!$B$66)/intermediates!$B$65)-1)</f>
        <v>1.6576251654261021E-2</v>
      </c>
      <c r="EY84" s="217">
        <f>IF(A84&lt;intermediates!$B$29,data!EX84,data!EY83+(data!EX84-data!EX83)*intermediates!$B$68)</f>
        <v>1.6576251654261021E-2</v>
      </c>
      <c r="EZ84" s="217">
        <f t="shared" si="132"/>
        <v>1.6576251654261021E-2</v>
      </c>
      <c r="FB84" s="212">
        <f>intermediates!$B$94+intermediates!$B$95+(intermediates!$B$95*(EXP(-(data!A84-intermediates!$B$97)/intermediates!$B$96)-1))</f>
        <v>1.7326111340981987</v>
      </c>
      <c r="FC84" s="217">
        <f>IF(A84&lt;intermediates!$B$29,data!FB84,data!FC83+(data!FB84-data!FB83)*intermediates!$B$68)</f>
        <v>1.7326111340981987</v>
      </c>
      <c r="FD84" s="212">
        <f t="shared" si="133"/>
        <v>1.7326111340981987</v>
      </c>
      <c r="FF84" s="184">
        <f>intermediates!$B$98+intermediates!$B$99*EXP(-(A84-intermediates!$B$101)/intermediates!$B$100)</f>
        <v>0.87479564757117145</v>
      </c>
      <c r="FG84" s="184">
        <f t="shared" si="101"/>
        <v>0.87479564757117145</v>
      </c>
      <c r="FI84" s="184">
        <f>intermediates!$B$102+intermediates!$B$103*EXP(-(A84-intermediates!$B$105)/intermediates!$B$104)</f>
        <v>2.1576283725536376E-2</v>
      </c>
      <c r="FJ84" s="184">
        <f t="shared" si="134"/>
        <v>2.1576283725536376E-2</v>
      </c>
      <c r="FL84" s="184">
        <f>intermediates!$B$106</f>
        <v>4.5616870531049965E-2</v>
      </c>
      <c r="FM84" s="184">
        <f t="shared" si="135"/>
        <v>4.5616870531049965E-2</v>
      </c>
      <c r="FN84" s="218">
        <f>IF(A84&lt;intermediates!$B$29,0,IF(A84&lt;intermediates!$B$31,(data!A84-intermediates!$B$29)/(intermediates!$B$31-intermediates!$B$29),1))</f>
        <v>0.23333333333333334</v>
      </c>
      <c r="FO84" s="218">
        <f t="shared" si="176"/>
        <v>1252396991247749.5</v>
      </c>
      <c r="FP84" s="218">
        <f t="shared" si="177"/>
        <v>1431645201625054</v>
      </c>
      <c r="FQ84" s="218">
        <f t="shared" si="178"/>
        <v>23731311141752.152</v>
      </c>
      <c r="FR84" s="218">
        <f t="shared" si="179"/>
        <v>2480484416413829</v>
      </c>
      <c r="FS84" s="218">
        <f t="shared" si="180"/>
        <v>2651831434242.6802</v>
      </c>
      <c r="FT84" s="218">
        <f>intermediates!$B$69*data!EU84/intermediates!$B$71</f>
        <v>2.3808680706938747</v>
      </c>
      <c r="FU84" s="218">
        <f>BC84*conversions!$C$1*1000000</f>
        <v>6014781219721.2051</v>
      </c>
      <c r="FV84" s="218">
        <f t="shared" si="184"/>
        <v>2526297569259.3799</v>
      </c>
      <c r="FX84" s="221"/>
      <c r="FY84" s="221"/>
      <c r="FZ84" s="221"/>
      <c r="GA84" s="218">
        <f t="shared" si="102"/>
        <v>416.89752301833869</v>
      </c>
      <c r="GB84" s="218">
        <f>GA84*1000000*10000*intermediates!$B$71/(intermediates!$B$72*data!EU84)</f>
        <v>2188789501557.9285</v>
      </c>
      <c r="GC84" s="218">
        <f t="shared" si="181"/>
        <v>8226987743350.918</v>
      </c>
      <c r="GD84" s="218">
        <f t="shared" si="144"/>
        <v>15593906248410.906</v>
      </c>
      <c r="GE84" s="218">
        <f t="shared" si="182"/>
        <v>16717186756903.699</v>
      </c>
      <c r="GF84" s="218">
        <f t="shared" si="183"/>
        <v>360694764559.73352</v>
      </c>
      <c r="GG84" s="218">
        <f t="shared" si="136"/>
        <v>762585743933.05908</v>
      </c>
      <c r="GH84" s="218">
        <f t="shared" si="103"/>
        <v>9565897872181.0352</v>
      </c>
      <c r="GI84" s="218">
        <f t="shared" si="145"/>
        <v>1312921305412.5625</v>
      </c>
      <c r="GJ84" s="218">
        <f>ET84*intermediates!$B$73/intermediates!$B$71</f>
        <v>3.5713021060408119</v>
      </c>
      <c r="GK84" s="218">
        <f>CL84*conversions!$C$1*1000000/data!GJ84</f>
        <v>1633522960868.7471</v>
      </c>
      <c r="GL84" s="218">
        <f>MIN(1,FN84)*(intermediates!$B$75-data!$GL$69)+data!$GL$69</f>
        <v>0.26418043757366882</v>
      </c>
      <c r="GM84" s="218">
        <f>GL84*intermediates!$B$74*(FS84+GC84+GK84+GG84+GF84+GB84+FV84)</f>
        <v>727184778454.27515</v>
      </c>
      <c r="GN84" s="218">
        <f>MIN(1,FN84)*intermediates!$B$76</f>
        <v>2.8000000000000001E-2</v>
      </c>
      <c r="GO84" s="218">
        <f t="shared" si="137"/>
        <v>534181045894.34814</v>
      </c>
      <c r="GP84" s="218">
        <f>IF(A84&gt;intermediates!$B$29,MIN(1,(A84-intermediates!$B$29)/(intermediates!$B$31-intermediates!$B$29))*intermediates!$B$77,0)</f>
        <v>3.4999999999999996E-2</v>
      </c>
      <c r="GQ84" s="218">
        <f>IF(AND(A84&gt;intermediates!$B$29+intermediates!$B$30,data!GP84&lt;intermediates!$B$77),1,0)</f>
        <v>0</v>
      </c>
      <c r="GR84" s="218">
        <f t="shared" si="104"/>
        <v>1687984763653.1248</v>
      </c>
      <c r="GS84" s="218">
        <f t="shared" si="105"/>
        <v>45031371447526.359</v>
      </c>
      <c r="GT84" s="218">
        <f t="shared" si="97"/>
        <v>87945114647375</v>
      </c>
      <c r="GU84" s="218">
        <f t="shared" si="106"/>
        <v>41404963306653.125</v>
      </c>
      <c r="GV84" s="218">
        <f t="shared" si="107"/>
        <v>19077894496226.719</v>
      </c>
      <c r="GW84" s="218">
        <f t="shared" si="108"/>
        <v>3196764656848.6406</v>
      </c>
      <c r="GX84" s="218">
        <f>MIN(intermediates!$B$88,FN84*intermediates!$B$87*GO84)</f>
        <v>62321122021.007286</v>
      </c>
      <c r="GY84" s="218">
        <f t="shared" si="109"/>
        <v>471859923873.34088</v>
      </c>
      <c r="GZ84" s="218">
        <f>MIN(intermediates!$B$88-GX84,intermediates!$B$87*data!GW84*FN84)</f>
        <v>372955876632.34143</v>
      </c>
      <c r="HA84" s="218">
        <f t="shared" si="138"/>
        <v>2823808780216.2993</v>
      </c>
      <c r="HB84" s="218">
        <f t="shared" si="139"/>
        <v>435276998653.34869</v>
      </c>
      <c r="HC84" s="218">
        <f t="shared" si="110"/>
        <v>27026979845841.793</v>
      </c>
      <c r="HD84" s="218">
        <f>HC84*intermediates!$B$79/(10000*1000000000)</f>
        <v>1793.8942854031686</v>
      </c>
      <c r="HE84" s="218">
        <f>(GV84*intermediates!$B$80+GV84*GL84*intermediates!$B$82)/(10000*1000000000)</f>
        <v>609.69482474645883</v>
      </c>
      <c r="HF84" s="218">
        <f>GU84*intermediates!$B$78/(10000*1000000000)</f>
        <v>4169.4529923651753</v>
      </c>
      <c r="HG84" s="218">
        <f>HB84*intermediates!$B$81/(10000*1000000000)</f>
        <v>109.41275385741798</v>
      </c>
      <c r="HH84" s="218">
        <f t="shared" si="111"/>
        <v>21.757523338151259</v>
      </c>
      <c r="HI84" s="218">
        <f t="shared" si="112"/>
        <v>20.278964925324885</v>
      </c>
      <c r="HJ84" s="218">
        <f t="shared" si="113"/>
        <v>-38.181280562084339</v>
      </c>
      <c r="HK84" s="218">
        <f ca="1">SUM(HJ84:INDIRECT(ADDRESS(MAX(CELL("row",HJ84)-intermediates!$B$83,69),CELL("col",HJ84))))/intermediates!$B$83+SUM(HH84:INDIRECT(ADDRESS(MAX(CELL("row",HH84)-intermediates!$B$84,69),CELL("col",HH84))))/intermediates!$B$84+SUM(HI84:INDIRECT(ADDRESS(MAX(CELL("row",HI84)-intermediates!$B$85,69),CELL("col",HI84))))/intermediates!$B$85</f>
        <v>-6.8990838273448603</v>
      </c>
      <c r="HL84" s="218">
        <f t="shared" ca="1" si="163"/>
        <v>-24.991351602239636</v>
      </c>
      <c r="HM84" s="188">
        <f t="shared" si="114"/>
        <v>2028</v>
      </c>
      <c r="HQ84" s="185">
        <f t="shared" si="115"/>
        <v>1264.1536159191096</v>
      </c>
      <c r="HR84" s="185">
        <f t="shared" si="116"/>
        <v>298.77209391893234</v>
      </c>
      <c r="HS84" s="185">
        <f t="shared" si="117"/>
        <v>258.85676750263156</v>
      </c>
      <c r="HT84" s="185">
        <f t="shared" si="118"/>
        <v>193.1882773518596</v>
      </c>
      <c r="HU84" s="185">
        <f t="shared" si="119"/>
        <v>86.0003673234948</v>
      </c>
      <c r="HV84" s="185">
        <f t="shared" si="120"/>
        <v>63.174818182819315</v>
      </c>
      <c r="HW84" s="185">
        <f t="shared" si="121"/>
        <v>199.62919193551204</v>
      </c>
      <c r="HX84" s="185">
        <f t="shared" si="122"/>
        <v>155.27238451323345</v>
      </c>
      <c r="HY84" s="185">
        <f t="shared" si="123"/>
        <v>2806.5789270191117</v>
      </c>
      <c r="HZ84" s="185">
        <f t="shared" si="140"/>
        <v>2363.7751321343594</v>
      </c>
      <c r="IA84" s="185">
        <f t="shared" si="141"/>
        <v>5325.6264436667043</v>
      </c>
      <c r="IB84" s="185">
        <f t="shared" si="124"/>
        <v>2200.0347840550708</v>
      </c>
      <c r="IC84" s="185">
        <f t="shared" si="175"/>
        <v>5703.6911981574876</v>
      </c>
      <c r="ID84" s="185">
        <f t="shared" si="125"/>
        <v>4697.1207936142691</v>
      </c>
      <c r="IE84" s="184">
        <f t="shared" si="142"/>
        <v>-0.71105603044395638</v>
      </c>
      <c r="IF84" s="184">
        <f t="shared" si="143"/>
        <v>-8.0488616559480863E-2</v>
      </c>
    </row>
    <row r="85" spans="1:240" x14ac:dyDescent="0.3">
      <c r="A85" s="184">
        <v>2029</v>
      </c>
      <c r="E85" s="207">
        <v>8318588.9170000004</v>
      </c>
      <c r="F85" s="207">
        <v>8477660.7230000105</v>
      </c>
      <c r="G85" s="207">
        <v>8636743.5280000009</v>
      </c>
      <c r="I85" s="207">
        <f t="shared" si="164"/>
        <v>8318588917</v>
      </c>
      <c r="J85" s="207">
        <f t="shared" si="164"/>
        <v>8477660723.0000105</v>
      </c>
      <c r="K85" s="207">
        <f t="shared" si="164"/>
        <v>8636743528</v>
      </c>
      <c r="L85" s="187">
        <f>IF(intermediates!$B$4&gt;=2,(intermediates!$B$4-2)*K85+(1-(intermediates!$B$4-2))*J85,(intermediates!$B$4-1)*J85+(1-(intermediates!$B$4-1))*I85)</f>
        <v>8536403553.2379799</v>
      </c>
      <c r="AJ85" s="184">
        <f>IF(intermediates!$B$46=0,$AJ$74+(intermediates!$B$15-$AJ$74)*MIN(1,(data!A85-data!$A$74)/(intermediates!$B$32-data!$A$74)),IF(A85&lt;2021,$AJ$74+(intermediates!$B$15-$AJ$74)*MIN(1,(data!A85-data!$A$74)/(intermediates!$B$32-data!$A$74)),intermediates!$B$47+(intermediates!$B$15-intermediates!$B$47)*MIN(1,(data!A85-$A$77)/(intermediates!$B$32-$A$77))))</f>
        <v>22509.248124871487</v>
      </c>
      <c r="AK85" s="192">
        <f t="shared" si="146"/>
        <v>22509.248124871487</v>
      </c>
      <c r="AL85" s="192">
        <f t="shared" ref="AL85:AL116" si="185">AK85*L85</f>
        <v>192148025673868.28</v>
      </c>
      <c r="AM85" s="192">
        <f>data!AL85/(1000000*conversions!$C$1)</f>
        <v>16469.830772045854</v>
      </c>
      <c r="AN85" s="192">
        <f>IF(intermediates!$B$13=1,($AJ$74+(27400-$AJ$74)*MIN(1,(data!A85-data!$A$74)/(intermediates!$B$32-data!$A$74)))*L85/(1000000*conversions!$C$1),data!AM85)</f>
        <v>16469.830772045854</v>
      </c>
      <c r="AV85" s="214">
        <f>IF(A85&lt;intermediates!$B$29,0,IF(A85&lt;intermediates!$B$31,(data!A85-intermediates!$B$29)*intermediates!$B$26/(intermediates!$B$31-intermediates!$B$29),intermediates!$B$26))</f>
        <v>2.6666666666666665</v>
      </c>
      <c r="AW85" s="212">
        <f>MIN(AW84+intermediates!$B$16,intermediates!$B$17*data!$AW$74)</f>
        <v>1208.3977662932182</v>
      </c>
      <c r="AX85" s="212">
        <f>AV85*1000/conversions!$C$16/intermediates!$B$40</f>
        <v>2183.2155991483419</v>
      </c>
      <c r="AY85" s="212">
        <f>AX85*(1-intermediates!$B$39)*intermediates!$B$28/(conversions!$C$2)</f>
        <v>571.47467661223629</v>
      </c>
      <c r="AZ85" s="213">
        <f>IF(A85&lt;intermediates!$B$29,0,MIN(intermediates!$B$25,intermediates!$B$25*(A85-intermediates!$B$29)/(intermediates!$B$31-intermediates!$B$29)))</f>
        <v>0</v>
      </c>
      <c r="BA85" s="212">
        <f>IF(A85&lt;intermediates!$B$29,data!$BA$74,IF(intermediates!$B$23&gt;data!$BA$74,MIN(intermediates!$B$23,data!$BA$74+(intermediates!$B$23-data!$BA$74)*((data!A85-intermediates!$B$29)/(intermediates!$B$31-intermediates!$B$29))),MAX(intermediates!$B$23,data!$BA$74+(intermediates!$B$23-data!$BA$74)*((data!A85-intermediates!$B$29)/(intermediates!$B$31-intermediates!$B$29)))))</f>
        <v>3.3867292401522302E-2</v>
      </c>
      <c r="BB85" s="212">
        <f t="shared" si="147"/>
        <v>557.78857456046671</v>
      </c>
      <c r="BC85" s="212">
        <f t="shared" si="166"/>
        <v>557.78857456046671</v>
      </c>
      <c r="BD85" s="212">
        <f t="shared" si="167"/>
        <v>0</v>
      </c>
      <c r="BE85" s="214">
        <f>MAX(0,MIN(1,(data!A85-intermediates!$B$29)/(intermediates!$B$31-intermediates!$B$29)))*((intermediates!$B$38*L85)-$BE$69*1000000000)/1000000000+$BE$69</f>
        <v>447.41931983387661</v>
      </c>
      <c r="BF85" s="214">
        <f t="shared" si="99"/>
        <v>447.41931983387661</v>
      </c>
      <c r="BG85" s="214">
        <f t="shared" si="168"/>
        <v>0</v>
      </c>
      <c r="BH85" s="214">
        <f>BD85*conversions!$C$2/conversions!$C$17+BG85*conversions!$C$6/conversions!$C$10</f>
        <v>0</v>
      </c>
      <c r="BI85" s="214">
        <f>BH85*intermediates!$B$41*conversions!$C$11/(conversions!$C$2*conversions!$C$6*intermediates!$B$42)</f>
        <v>0</v>
      </c>
      <c r="BJ85" s="214">
        <f>BH85*intermediates!$B$43/(conversions!$C$1*intermediates!$B$42)</f>
        <v>0</v>
      </c>
      <c r="BK85" s="214">
        <f t="shared" si="148"/>
        <v>0</v>
      </c>
      <c r="BL85" s="214">
        <f t="shared" si="149"/>
        <v>16469.830772045854</v>
      </c>
      <c r="BM85" s="214">
        <f t="shared" si="150"/>
        <v>14132.169754579932</v>
      </c>
      <c r="BN85" s="214">
        <f>IF(A85&lt;intermediates!$B$29,MIN(BO84+intermediates!$B$33*AN84),MIN(BO84*intermediates!$B$35,BO84+intermediates!$B$37*AN84))</f>
        <v>2807.2332920463955</v>
      </c>
      <c r="BO85" s="212">
        <f>IF(A85&lt;intermediates!$B$29,MIN(BM85,BO84+intermediates!$B$33*AN84),MIN(BM85,BO84*intermediates!$B$35,BO84+intermediates!$B$37*AN84))</f>
        <v>2807.2332920463955</v>
      </c>
      <c r="BP85" s="214">
        <f t="shared" si="151"/>
        <v>0</v>
      </c>
      <c r="BQ85" s="214">
        <f t="shared" si="152"/>
        <v>11324.936462533538</v>
      </c>
      <c r="BR85" s="212" t="str">
        <f t="shared" ref="BR85:BR116" si="186">IF(AND(BQ85&gt;0,BQ86=0),A86,"")</f>
        <v/>
      </c>
      <c r="BS85" s="212">
        <f>BP85*conversions!$C$1*intermediates!$B$42/intermediates!$B$43</f>
        <v>0</v>
      </c>
      <c r="BT85" s="214">
        <f>MIN(BT84+BS85,intermediates!$B$27*1000)</f>
        <v>0</v>
      </c>
      <c r="BU85" s="219" t="str">
        <f>IF(AND(BT85=intermediates!$B$27*1000,BT84&lt;&gt;intermediates!$B$27*1000),A85,"")</f>
        <v/>
      </c>
      <c r="BV85" s="212">
        <f>BT85*intermediates!$B$43/(conversions!$C$1*intermediates!$B$42)</f>
        <v>0</v>
      </c>
      <c r="BW85" s="214">
        <f t="shared" si="153"/>
        <v>16469.830772045854</v>
      </c>
      <c r="BX85" s="214">
        <f t="shared" si="154"/>
        <v>2807.2332920463955</v>
      </c>
      <c r="BY85" s="227">
        <f>IF(OR(BQ85&gt;0,BT85&lt;&gt;intermediates!$B$27*1000),MAX(0,(BX85-BX84)/AM84),0.000000000001)</f>
        <v>2.8832096633363245E-2</v>
      </c>
      <c r="BZ85" s="322">
        <f>BH85*intermediates!$B$49*1000000</f>
        <v>0</v>
      </c>
      <c r="CA85" s="322">
        <f>BI85*conversions!$C$1*1000000*intermediates!$B$50</f>
        <v>0</v>
      </c>
      <c r="CB85" s="322">
        <f>BT85*1000000*intermediates!$B$49</f>
        <v>0</v>
      </c>
      <c r="CC85" s="214">
        <f>BW85*conversions!$C$1*1000000/L85</f>
        <v>22509.24812487149</v>
      </c>
      <c r="CD85" s="173">
        <f t="shared" si="100"/>
        <v>2029</v>
      </c>
      <c r="CE85" s="173"/>
      <c r="CF85" s="173"/>
      <c r="CG85" s="173"/>
      <c r="CH85" s="173"/>
      <c r="CI85" s="173">
        <f t="shared" si="155"/>
        <v>11324.936462533538</v>
      </c>
      <c r="CJ85" s="173">
        <f t="shared" si="156"/>
        <v>1208.3977662932182</v>
      </c>
      <c r="CK85" s="173">
        <f t="shared" si="157"/>
        <v>557.78857456046671</v>
      </c>
      <c r="CL85" s="173">
        <f t="shared" si="158"/>
        <v>571.47467661223629</v>
      </c>
      <c r="CM85" s="173"/>
      <c r="CN85" s="173"/>
      <c r="CO85" s="329">
        <f t="shared" si="169"/>
        <v>2807.2332920463955</v>
      </c>
      <c r="CP85" s="174">
        <f t="shared" si="159"/>
        <v>38.940258210866176</v>
      </c>
      <c r="CQ85" s="228">
        <f t="shared" si="160"/>
        <v>2.6666666666666665</v>
      </c>
      <c r="CR85" s="228">
        <f t="shared" si="170"/>
        <v>12</v>
      </c>
      <c r="CS85" s="214">
        <f t="shared" ca="1" si="161"/>
        <v>44.180902116133524</v>
      </c>
      <c r="CT85" s="190">
        <f t="shared" ca="1" si="162"/>
        <v>5.1755873349468198</v>
      </c>
      <c r="CU85" s="190">
        <f t="shared" ref="CU85:CU116" ca="1" si="187">CT85*L85/1000000000</f>
        <v>44.180902116133524</v>
      </c>
      <c r="CV85" s="198">
        <f t="shared" si="174"/>
        <v>2735.4252015705752</v>
      </c>
      <c r="CW85" s="198">
        <f t="shared" ca="1" si="171"/>
        <v>2769.9028664276384</v>
      </c>
      <c r="CX85" s="198">
        <f t="shared" ca="1" si="172"/>
        <v>2756.3238637447503</v>
      </c>
      <c r="CY85" s="198">
        <f t="shared" ca="1" si="173"/>
        <v>-13.579002682889826</v>
      </c>
      <c r="CZ85" s="199">
        <f ca="1">IF(CX85&lt;intermediates!$B$55,intermediates!$B$56+(CX85-intermediates!$B$55)*intermediates!$B$53,intermediates!$B$56+(data!CX85-intermediates!$B$55)*intermediates!$B$58)</f>
        <v>1.4679798399639488</v>
      </c>
      <c r="DG85" s="201">
        <f>IF(A85&gt;MAX(intermediates!B$31,intermediates!$B$32),DG84,DG84+intermediates!$B$60*DG$73)</f>
        <v>16494538825000</v>
      </c>
      <c r="DH85" s="201">
        <f>IF(A85&gt;MAX(intermediates!B$31,intermediates!$B$32),DH84,DH84+intermediates!$B$61*DH$73)</f>
        <v>31729100937500</v>
      </c>
      <c r="DI85" s="201">
        <f>IF(A85&gt;MAX(intermediates!B$31,intermediates!$B$32),DI84,DI84+intermediates!$B$62*DI$73)</f>
        <v>39692036936000</v>
      </c>
      <c r="DJ85" s="221"/>
      <c r="EE85" s="218"/>
      <c r="EF85" s="212">
        <f>$EF$69+intermediates!$B$90*(A85-2013)*intermediates!$B$92+intermediates!$B$91*intermediates!$B$92*(A85-2013)^2</f>
        <v>2905.914928549219</v>
      </c>
      <c r="EH85" s="212">
        <f>IF(A85&lt;intermediates!$B$29,data!EH84,IF(A85&lt;intermediates!$B$31,data!$EH$69+(intermediates!$B$93-data!$EH$69)*(data!A85-intermediates!$B$29)/(intermediates!$B$31-intermediates!$B$29),intermediates!$B$93))</f>
        <v>0.13497810245868683</v>
      </c>
      <c r="EI85" s="212">
        <f t="shared" si="128"/>
        <v>0.13497810245868683</v>
      </c>
      <c r="EN85" s="218"/>
      <c r="EO85" s="212">
        <f t="shared" si="129"/>
        <v>2513.6800455872749</v>
      </c>
      <c r="EQ85" s="212">
        <f t="shared" si="130"/>
        <v>392.23488296194409</v>
      </c>
      <c r="ET85" s="214">
        <f>IF(A85&lt;intermediates!$B$29,ET84+intermediates!$B$63,ET84+intermediates!$B$63*intermediates!$B$67)</f>
        <v>945.36099299731529</v>
      </c>
      <c r="EU85" s="215">
        <f t="shared" si="131"/>
        <v>945.36099299731529</v>
      </c>
      <c r="EV85" s="216">
        <f>data!EU85*conversions!$C$13</f>
        <v>1.0994548348558777</v>
      </c>
      <c r="EX85" s="212">
        <f>intermediates!$B$64+intermediates!$B$64*(EXP(-(data!A85-intermediates!$B$66)/intermediates!$B$65)-1)</f>
        <v>1.6268091071679119E-2</v>
      </c>
      <c r="EY85" s="217">
        <f>IF(A85&lt;intermediates!$B$29,data!EX85,data!EY84+(data!EX85-data!EX84)*intermediates!$B$68)</f>
        <v>1.6268091071679119E-2</v>
      </c>
      <c r="EZ85" s="217">
        <f t="shared" si="132"/>
        <v>1.6268091071679119E-2</v>
      </c>
      <c r="FB85" s="212">
        <f>intermediates!$B$94+intermediates!$B$95+(intermediates!$B$95*(EXP(-(data!A85-intermediates!$B$97)/intermediates!$B$96)-1))</f>
        <v>1.7262677218188163</v>
      </c>
      <c r="FC85" s="217">
        <f>IF(A85&lt;intermediates!$B$29,data!FB85,data!FC84+(data!FB85-data!FB84)*intermediates!$B$68)</f>
        <v>1.7262677218188163</v>
      </c>
      <c r="FD85" s="212">
        <f t="shared" si="133"/>
        <v>1.7262677218188163</v>
      </c>
      <c r="FF85" s="184">
        <f>intermediates!$B$98+intermediates!$B$99*EXP(-(A85-intermediates!$B$101)/intermediates!$B$100)</f>
        <v>0.87556594522041631</v>
      </c>
      <c r="FG85" s="184">
        <f t="shared" si="101"/>
        <v>0.87556594522041631</v>
      </c>
      <c r="FI85" s="184">
        <f>intermediates!$B$102+intermediates!$B$103*EXP(-(A85-intermediates!$B$105)/intermediates!$B$104)</f>
        <v>2.1340995884168545E-2</v>
      </c>
      <c r="FJ85" s="184">
        <f t="shared" si="134"/>
        <v>2.1340995884168545E-2</v>
      </c>
      <c r="FL85" s="184">
        <f>intermediates!$B$106</f>
        <v>4.5616870531049965E-2</v>
      </c>
      <c r="FM85" s="184">
        <f t="shared" si="135"/>
        <v>4.5616870531049965E-2</v>
      </c>
      <c r="FN85" s="218">
        <f>IF(A85&lt;intermediates!$B$29,0,IF(A85&lt;intermediates!$B$31,(data!A85-intermediates!$B$29)/(intermediates!$B$31-intermediates!$B$29),1))</f>
        <v>0.26666666666666666</v>
      </c>
      <c r="FO85" s="218">
        <f t="shared" si="176"/>
        <v>1222120465746381.3</v>
      </c>
      <c r="FP85" s="218">
        <f t="shared" si="177"/>
        <v>1395806303817267.3</v>
      </c>
      <c r="FQ85" s="218">
        <f t="shared" si="178"/>
        <v>22707104068923.117</v>
      </c>
      <c r="FR85" s="218">
        <f t="shared" si="179"/>
        <v>2409535368190976.5</v>
      </c>
      <c r="FS85" s="218">
        <f t="shared" si="180"/>
        <v>2548799227003.6675</v>
      </c>
      <c r="FT85" s="218">
        <f>intermediates!$B$69*data!EU85/intermediates!$B$71</f>
        <v>2.4062592754067995</v>
      </c>
      <c r="FU85" s="218">
        <f>BC85*conversions!$C$1*1000000</f>
        <v>6507533369872.1113</v>
      </c>
      <c r="FV85" s="218">
        <f t="shared" si="184"/>
        <v>2704419027651.106</v>
      </c>
      <c r="FX85" s="221"/>
      <c r="FY85" s="221"/>
      <c r="FZ85" s="221"/>
      <c r="GA85" s="218">
        <f t="shared" si="102"/>
        <v>447.41931983387661</v>
      </c>
      <c r="GB85" s="218">
        <f>GA85*1000000*10000*intermediates!$B$71/(intermediates!$B$72*data!EU85)</f>
        <v>2324247247619.6294</v>
      </c>
      <c r="GC85" s="218">
        <f t="shared" si="181"/>
        <v>8284763611580.6816</v>
      </c>
      <c r="GD85" s="218">
        <f t="shared" si="144"/>
        <v>15862229113855.086</v>
      </c>
      <c r="GE85" s="218">
        <f t="shared" si="182"/>
        <v>17000549646039.916</v>
      </c>
      <c r="GF85" s="218">
        <f t="shared" si="183"/>
        <v>362808660024.74084</v>
      </c>
      <c r="GG85" s="218">
        <f t="shared" si="136"/>
        <v>775511872160.09021</v>
      </c>
      <c r="GH85" s="218">
        <f t="shared" si="103"/>
        <v>9577518945044.9766</v>
      </c>
      <c r="GI85" s="218">
        <f t="shared" si="145"/>
        <v>1256043893539.373</v>
      </c>
      <c r="GJ85" s="218">
        <f>ET85*intermediates!$B$73/intermediates!$B$71</f>
        <v>3.609388913110199</v>
      </c>
      <c r="GK85" s="218">
        <f>CL85*conversions!$C$1*1000000/data!GJ85</f>
        <v>1847183753532.1125</v>
      </c>
      <c r="GL85" s="218">
        <f>MIN(1,FN85)*(intermediates!$B$75-data!$GL$69)+data!$GL$69</f>
        <v>0.29617259246177019</v>
      </c>
      <c r="GM85" s="218">
        <f>GL85*intermediates!$B$74*(FS85+GC85+GK85+GG85+GF85+GB85+FV85)</f>
        <v>837327309446.93103</v>
      </c>
      <c r="GN85" s="218">
        <f>MIN(1,FN85)*intermediates!$B$76</f>
        <v>3.2000000000000001E-2</v>
      </c>
      <c r="GO85" s="218">
        <f t="shared" si="137"/>
        <v>629921942688.60669</v>
      </c>
      <c r="GP85" s="218">
        <f>IF(A85&gt;intermediates!$B$29,MIN(1,(A85-intermediates!$B$29)/(intermediates!$B$31-intermediates!$B$29))*intermediates!$B$77,0)</f>
        <v>0.04</v>
      </c>
      <c r="GQ85" s="218">
        <f>IF(AND(A85&gt;intermediates!$B$29+intermediates!$B$30,data!GP85&lt;intermediates!$B$77),1,0)</f>
        <v>0</v>
      </c>
      <c r="GR85" s="218">
        <f t="shared" si="104"/>
        <v>1928945590500</v>
      </c>
      <c r="GS85" s="218">
        <f t="shared" si="105"/>
        <v>44951032311130.688</v>
      </c>
      <c r="GT85" s="218">
        <f t="shared" si="97"/>
        <v>87915676698500</v>
      </c>
      <c r="GU85" s="218">
        <f t="shared" si="106"/>
        <v>41620982526500</v>
      </c>
      <c r="GV85" s="218">
        <f t="shared" si="107"/>
        <v>19685060709018.957</v>
      </c>
      <c r="GW85" s="218">
        <f t="shared" si="108"/>
        <v>3272607451369.3125</v>
      </c>
      <c r="GX85" s="218">
        <f>MIN(intermediates!$B$88,FN85*intermediates!$B$87*GO85)</f>
        <v>83989592358.480896</v>
      </c>
      <c r="GY85" s="218">
        <f t="shared" si="109"/>
        <v>545932350330.12579</v>
      </c>
      <c r="GZ85" s="218">
        <f>MIN(intermediates!$B$88-GX85,intermediates!$B$87*data!GW85*FN85)</f>
        <v>436347660182.57501</v>
      </c>
      <c r="HA85" s="218">
        <f t="shared" si="138"/>
        <v>2836259791186.7373</v>
      </c>
      <c r="HB85" s="218">
        <f t="shared" si="139"/>
        <v>520337252541.05591</v>
      </c>
      <c r="HC85" s="218">
        <f t="shared" si="110"/>
        <v>26089296210439.98</v>
      </c>
      <c r="HD85" s="218">
        <f>HC85*intermediates!$B$79/(10000*1000000000)</f>
        <v>1731.6562800966979</v>
      </c>
      <c r="HE85" s="218">
        <f>(GV85*intermediates!$B$80+GV85*GL85*intermediates!$B$82)/(10000*1000000000)</f>
        <v>633.65624038910323</v>
      </c>
      <c r="HF85" s="218">
        <f>GU85*intermediates!$B$78/(10000*1000000000)</f>
        <v>4191.2059879161752</v>
      </c>
      <c r="HG85" s="218">
        <f>HB85*intermediates!$B$81/(10000*1000000000)</f>
        <v>130.79379776844019</v>
      </c>
      <c r="HH85" s="218">
        <f t="shared" si="111"/>
        <v>21.752995550999913</v>
      </c>
      <c r="HI85" s="218">
        <f t="shared" si="112"/>
        <v>21.381043911022203</v>
      </c>
      <c r="HJ85" s="218">
        <f t="shared" si="113"/>
        <v>-38.276589663826371</v>
      </c>
      <c r="HK85" s="218">
        <f ca="1">SUM(HJ85:INDIRECT(ADDRESS(MAX(CELL("row",HJ85)-intermediates!$B$83,69),CELL("col",HJ85))))/intermediates!$B$83+SUM(HH85:INDIRECT(ADDRESS(MAX(CELL("row",HH85)-intermediates!$B$84,69),CELL("col",HH85))))/intermediates!$B$84+SUM(HI85:INDIRECT(ADDRESS(MAX(CELL("row",HI85)-intermediates!$B$85,69),CELL("col",HI85))))/intermediates!$B$85</f>
        <v>-7.9073105719340102</v>
      </c>
      <c r="HL85" s="218">
        <f t="shared" ca="1" si="163"/>
        <v>-32.898662174173644</v>
      </c>
      <c r="HM85" s="188">
        <f t="shared" si="114"/>
        <v>2029</v>
      </c>
      <c r="HQ85" s="185">
        <f t="shared" si="115"/>
        <v>1255.3107887179415</v>
      </c>
      <c r="HR85" s="185">
        <f t="shared" si="116"/>
        <v>316.81011924808558</v>
      </c>
      <c r="HS85" s="185">
        <f t="shared" si="117"/>
        <v>272.27476221388446</v>
      </c>
      <c r="HT85" s="185">
        <f t="shared" si="118"/>
        <v>216.38899122001436</v>
      </c>
      <c r="HU85" s="185">
        <f t="shared" si="119"/>
        <v>98.089002496762333</v>
      </c>
      <c r="HV85" s="185">
        <f t="shared" si="120"/>
        <v>73.792427778284718</v>
      </c>
      <c r="HW85" s="185">
        <f t="shared" si="121"/>
        <v>225.96701040080555</v>
      </c>
      <c r="HX85" s="185">
        <f t="shared" si="122"/>
        <v>147.13970417470924</v>
      </c>
      <c r="HY85" s="185">
        <f t="shared" si="123"/>
        <v>2660.0317015600776</v>
      </c>
      <c r="HZ85" s="185">
        <f t="shared" si="140"/>
        <v>2458.6331020757789</v>
      </c>
      <c r="IA85" s="185">
        <f t="shared" si="141"/>
        <v>5265.8045078105661</v>
      </c>
      <c r="IB85" s="185">
        <f t="shared" si="124"/>
        <v>2209.872769781708</v>
      </c>
      <c r="IC85" s="185">
        <f t="shared" si="175"/>
        <v>5649.1752600201389</v>
      </c>
      <c r="ID85" s="185">
        <f t="shared" si="125"/>
        <v>4649.7376428442449</v>
      </c>
      <c r="IE85" s="184">
        <f t="shared" si="142"/>
        <v>-0.68617681319170198</v>
      </c>
      <c r="IF85" s="184">
        <f t="shared" si="143"/>
        <v>-8.2449974957095634E-2</v>
      </c>
    </row>
    <row r="86" spans="1:240" x14ac:dyDescent="0.3">
      <c r="A86" s="211">
        <v>2030</v>
      </c>
      <c r="E86" s="207">
        <v>8363452.5310000004</v>
      </c>
      <c r="F86" s="207">
        <v>8548487.3709999993</v>
      </c>
      <c r="G86" s="207">
        <v>8733522.2690000106</v>
      </c>
      <c r="I86" s="207">
        <f t="shared" si="164"/>
        <v>8363452531</v>
      </c>
      <c r="J86" s="207">
        <f t="shared" si="164"/>
        <v>8548487370.999999</v>
      </c>
      <c r="K86" s="207">
        <f t="shared" si="164"/>
        <v>8733522269.0000114</v>
      </c>
      <c r="L86" s="187">
        <f>IF(intermediates!$B$4&gt;=2,(intermediates!$B$4-2)*K86+(1-(intermediates!$B$4-2))*J86,(intermediates!$B$4-1)*J86+(1-(intermediates!$B$4-1))*I86)</f>
        <v>8616813257.0146141</v>
      </c>
      <c r="AJ86" s="184">
        <f>IF(intermediates!$B$46=0,$AJ$74+(intermediates!$B$15-$AJ$74)*MIN(1,(data!A86-data!$A$74)/(intermediates!$B$32-data!$A$74)),IF(A86&lt;2021,$AJ$74+(intermediates!$B$15-$AJ$74)*MIN(1,(data!A86-data!$A$74)/(intermediates!$B$32-data!$A$74)),intermediates!$B$47+(intermediates!$B$15-intermediates!$B$47)*MIN(1,(data!A86-$A$77)/(intermediates!$B$32-$A$77))))</f>
        <v>22628.534755972181</v>
      </c>
      <c r="AK86" s="192">
        <f t="shared" si="146"/>
        <v>22628.534755972181</v>
      </c>
      <c r="AL86" s="192">
        <f t="shared" si="185"/>
        <v>194985858272077.06</v>
      </c>
      <c r="AM86" s="192">
        <f>data!AL86/(1000000*conversions!$C$1)</f>
        <v>16713.073566178035</v>
      </c>
      <c r="AN86" s="192">
        <f>IF(intermediates!$B$13=1,($AJ$74+(27400-$AJ$74)*MIN(1,(data!A86-data!$A$74)/(intermediates!$B$32-data!$A$74)))*L86/(1000000*conversions!$C$1),data!AM86)</f>
        <v>16713.073566178035</v>
      </c>
      <c r="AV86" s="214">
        <f>IF(A86&lt;intermediates!$B$29,0,IF(A86&lt;intermediates!$B$31,(data!A86-intermediates!$B$29)*intermediates!$B$26/(intermediates!$B$31-intermediates!$B$29),intermediates!$B$26))</f>
        <v>3</v>
      </c>
      <c r="AW86" s="212">
        <f>MIN(AW85+intermediates!$B$16,intermediates!$B$17*data!$AW$74)</f>
        <v>1231.9980274804275</v>
      </c>
      <c r="AX86" s="212">
        <f>AV86*1000/conversions!$C$16/intermediates!$B$40</f>
        <v>2456.1175490418846</v>
      </c>
      <c r="AY86" s="212">
        <f>AX86*(1-intermediates!$B$39)*intermediates!$B$28/(conversions!$C$2)</f>
        <v>642.90901118876593</v>
      </c>
      <c r="AZ86" s="213">
        <f>IF(A86&lt;intermediates!$B$29,0,MIN(intermediates!$B$25,intermediates!$B$25*(A86-intermediates!$B$29)/(intermediates!$B$31-intermediates!$B$29)))</f>
        <v>0</v>
      </c>
      <c r="BA86" s="212">
        <f>IF(A86&lt;intermediates!$B$29,data!$BA$74,IF(intermediates!$B$23&gt;data!$BA$74,MIN(intermediates!$B$23,data!$BA$74+(intermediates!$B$23-data!$BA$74)*((data!A86-intermediates!$B$29)/(intermediates!$B$31-intermediates!$B$29))),MAX(intermediates!$B$23,data!$BA$74+(intermediates!$B$23-data!$BA$74)*((data!A86-intermediates!$B$29)/(intermediates!$B$31-intermediates!$B$29)))))</f>
        <v>3.5964233655998559E-2</v>
      </c>
      <c r="BB86" s="212">
        <f t="shared" si="147"/>
        <v>601.07288284391996</v>
      </c>
      <c r="BC86" s="212">
        <f t="shared" si="166"/>
        <v>601.07288284391996</v>
      </c>
      <c r="BD86" s="212">
        <f t="shared" si="167"/>
        <v>0</v>
      </c>
      <c r="BE86" s="214">
        <f>MAX(0,MIN(1,(data!A86-intermediates!$B$29)/(intermediates!$B$31-intermediates!$B$29)))*((intermediates!$B$38*L86)-$BE$69*1000000000)/1000000000+$BE$69</f>
        <v>478.59973483099452</v>
      </c>
      <c r="BF86" s="214">
        <f t="shared" si="99"/>
        <v>478.59973483099452</v>
      </c>
      <c r="BG86" s="214">
        <f t="shared" si="168"/>
        <v>0</v>
      </c>
      <c r="BH86" s="214">
        <f>BD86*conversions!$C$2/conversions!$C$17+BG86*conversions!$C$6/conversions!$C$10</f>
        <v>0</v>
      </c>
      <c r="BI86" s="214">
        <f>BH86*intermediates!$B$41*conversions!$C$11/(conversions!$C$2*conversions!$C$6*intermediates!$B$42)</f>
        <v>0</v>
      </c>
      <c r="BJ86" s="214">
        <f>BH86*intermediates!$B$43/(conversions!$C$1*intermediates!$B$42)</f>
        <v>0</v>
      </c>
      <c r="BK86" s="214">
        <f t="shared" si="148"/>
        <v>0</v>
      </c>
      <c r="BL86" s="214">
        <f t="shared" si="149"/>
        <v>16713.073566178035</v>
      </c>
      <c r="BM86" s="214">
        <f t="shared" si="150"/>
        <v>14237.093644664921</v>
      </c>
      <c r="BN86" s="214">
        <f>IF(A86&lt;intermediates!$B$29,MIN(BO85+intermediates!$B$33*AN85),MIN(BO85*intermediates!$B$35,BO85+intermediates!$B$37*AN85))</f>
        <v>3301.103029902863</v>
      </c>
      <c r="BO86" s="212">
        <f>IF(A86&lt;intermediates!$B$29,MIN(BM86,BO85+intermediates!$B$33*AN85),MIN(BM86,BO85*intermediates!$B$35,BO85+intermediates!$B$37*AN85))</f>
        <v>3301.103029902863</v>
      </c>
      <c r="BP86" s="214">
        <f t="shared" si="151"/>
        <v>0</v>
      </c>
      <c r="BQ86" s="214">
        <f t="shared" si="152"/>
        <v>10935.990614762059</v>
      </c>
      <c r="BR86" s="212" t="str">
        <f t="shared" si="186"/>
        <v/>
      </c>
      <c r="BS86" s="212">
        <f>BP86*conversions!$C$1*intermediates!$B$42/intermediates!$B$43</f>
        <v>0</v>
      </c>
      <c r="BT86" s="214">
        <f>MIN(BT85+BS86,intermediates!$B$27*1000)</f>
        <v>0</v>
      </c>
      <c r="BU86" s="219" t="str">
        <f>IF(AND(BT86=intermediates!$B$27*1000,BT85&lt;&gt;intermediates!$B$27*1000),A86,"")</f>
        <v/>
      </c>
      <c r="BV86" s="212">
        <f>BT86*intermediates!$B$43/(conversions!$C$1*intermediates!$B$42)</f>
        <v>0</v>
      </c>
      <c r="BW86" s="214">
        <f t="shared" si="153"/>
        <v>16713.073566178035</v>
      </c>
      <c r="BX86" s="214">
        <f t="shared" si="154"/>
        <v>3301.103029902863</v>
      </c>
      <c r="BY86" s="227">
        <f>IF(OR(BQ86&gt;0,BT86&lt;&gt;intermediates!$B$27*1000),MAX(0,(BX86-BX85)/AM85),0.000000000001)</f>
        <v>2.9986327406272422E-2</v>
      </c>
      <c r="BZ86" s="322">
        <f>BH86*intermediates!$B$49*1000000</f>
        <v>0</v>
      </c>
      <c r="CA86" s="322">
        <f>BI86*conversions!$C$1*1000000*intermediates!$B$50</f>
        <v>0</v>
      </c>
      <c r="CB86" s="322">
        <f>BT86*1000000*intermediates!$B$49</f>
        <v>0</v>
      </c>
      <c r="CC86" s="214">
        <f>BW86*conversions!$C$1*1000000/L86</f>
        <v>22628.534755972181</v>
      </c>
      <c r="CD86" s="173">
        <f t="shared" si="100"/>
        <v>2030</v>
      </c>
      <c r="CE86" s="173"/>
      <c r="CF86" s="173"/>
      <c r="CG86" s="173"/>
      <c r="CH86" s="173"/>
      <c r="CI86" s="173">
        <f t="shared" si="155"/>
        <v>10935.990614762059</v>
      </c>
      <c r="CJ86" s="173">
        <f t="shared" si="156"/>
        <v>1231.9980274804275</v>
      </c>
      <c r="CK86" s="173">
        <f t="shared" si="157"/>
        <v>601.07288284391996</v>
      </c>
      <c r="CL86" s="173">
        <f t="shared" si="158"/>
        <v>642.90901118876593</v>
      </c>
      <c r="CM86" s="173"/>
      <c r="CN86" s="173"/>
      <c r="CO86" s="329">
        <f t="shared" si="169"/>
        <v>3301.103029902863</v>
      </c>
      <c r="CP86" s="174">
        <f t="shared" si="159"/>
        <v>37.602886315458882</v>
      </c>
      <c r="CQ86" s="228">
        <f t="shared" si="160"/>
        <v>3</v>
      </c>
      <c r="CR86" s="228">
        <f t="shared" si="170"/>
        <v>15</v>
      </c>
      <c r="CS86" s="214">
        <f t="shared" ca="1" si="161"/>
        <v>43.509275997964956</v>
      </c>
      <c r="CT86" s="190">
        <f t="shared" ca="1" si="162"/>
        <v>5.0493465159577111</v>
      </c>
      <c r="CU86" s="190">
        <f t="shared" ca="1" si="187"/>
        <v>43.509275997964956</v>
      </c>
      <c r="CV86" s="198">
        <f t="shared" si="174"/>
        <v>2773.028087886034</v>
      </c>
      <c r="CW86" s="198">
        <f t="shared" ca="1" si="171"/>
        <v>2816.4121424256032</v>
      </c>
      <c r="CX86" s="198">
        <f t="shared" ca="1" si="172"/>
        <v>2799.833139742715</v>
      </c>
      <c r="CY86" s="198">
        <f t="shared" ca="1" si="173"/>
        <v>-16.579002682889826</v>
      </c>
      <c r="CZ86" s="199">
        <f ca="1">IF(CX86&lt;intermediates!$B$55,intermediates!$B$56+(CX86-intermediates!$B$55)*intermediates!$B$53,intermediates!$B$56+(data!CX86-intermediates!$B$55)*intermediates!$B$58)</f>
        <v>1.4916401710990712</v>
      </c>
      <c r="DG86" s="201">
        <f>IF(A86&gt;MAX(intermediates!B$31,intermediates!$B$32),DG85,DG85+intermediates!$B$60*DG$73)</f>
        <v>16567969766250</v>
      </c>
      <c r="DH86" s="201">
        <f>IF(A86&gt;MAX(intermediates!B$31,intermediates!$B$32),DH85,DH85+intermediates!$B$61*DH$73)</f>
        <v>31651173654375</v>
      </c>
      <c r="DI86" s="201">
        <f>IF(A86&gt;MAX(intermediates!B$31,intermediates!$B$32),DI85,DI85+intermediates!$B$62*DI$73)</f>
        <v>39667095329000</v>
      </c>
      <c r="DJ86" s="221"/>
      <c r="EE86" s="218"/>
      <c r="EF86" s="212">
        <f>$EF$69+intermediates!$B$90*(A86-2013)*intermediates!$B$92+intermediates!$B$91*intermediates!$B$92*(A86-2013)^2</f>
        <v>2912.5430185492187</v>
      </c>
      <c r="EH86" s="212">
        <f>IF(A86&lt;intermediates!$B$29,data!EH85,IF(A86&lt;intermediates!$B$31,data!$EH$69+(intermediates!$B$93-data!$EH$69)*(data!A86-intermediates!$B$29)/(intermediates!$B$31-intermediates!$B$29),intermediates!$B$93))</f>
        <v>0.12998919432196945</v>
      </c>
      <c r="EI86" s="212">
        <f t="shared" si="128"/>
        <v>0.12998919432196945</v>
      </c>
      <c r="EN86" s="218"/>
      <c r="EO86" s="212">
        <f t="shared" si="129"/>
        <v>2533.9438981399289</v>
      </c>
      <c r="EQ86" s="212">
        <f t="shared" si="130"/>
        <v>378.59912040928975</v>
      </c>
      <c r="ET86" s="214">
        <f>IF(A86&lt;intermediates!$B$29,ET85+intermediates!$B$63,ET85+intermediates!$B$63*intermediates!$B$67)</f>
        <v>955.33658238875807</v>
      </c>
      <c r="EU86" s="215">
        <f t="shared" si="131"/>
        <v>955.33658238875807</v>
      </c>
      <c r="EV86" s="216">
        <f>data!EU86*conversions!$C$13</f>
        <v>1.1110564453181255</v>
      </c>
      <c r="EX86" s="212">
        <f>intermediates!$B$64+intermediates!$B$64*(EXP(-(data!A86-intermediates!$B$66)/intermediates!$B$65)-1)</f>
        <v>1.5965659344247214E-2</v>
      </c>
      <c r="EY86" s="217">
        <f>IF(A86&lt;intermediates!$B$29,data!EX86,data!EY85+(data!EX86-data!EX85)*intermediates!$B$68)</f>
        <v>1.5965659344247214E-2</v>
      </c>
      <c r="EZ86" s="217">
        <f t="shared" si="132"/>
        <v>1.5965659344247214E-2</v>
      </c>
      <c r="FB86" s="212">
        <f>intermediates!$B$94+intermediates!$B$95+(intermediates!$B$95*(EXP(-(data!A86-intermediates!$B$97)/intermediates!$B$96)-1))</f>
        <v>1.7200972973007558</v>
      </c>
      <c r="FC86" s="217">
        <f>IF(A86&lt;intermediates!$B$29,data!FB86,data!FC85+(data!FB86-data!FB85)*intermediates!$B$68)</f>
        <v>1.7200972973007558</v>
      </c>
      <c r="FD86" s="212">
        <f t="shared" si="133"/>
        <v>1.7200972973007558</v>
      </c>
      <c r="FF86" s="184">
        <f>intermediates!$B$98+intermediates!$B$99*EXP(-(A86-intermediates!$B$101)/intermediates!$B$100)</f>
        <v>0.87631938817904775</v>
      </c>
      <c r="FG86" s="184">
        <f t="shared" si="101"/>
        <v>0.87631938817904775</v>
      </c>
      <c r="FI86" s="184">
        <f>intermediates!$B$102+intermediates!$B$103*EXP(-(A86-intermediates!$B$105)/intermediates!$B$104)</f>
        <v>2.1111875446816485E-2</v>
      </c>
      <c r="FJ86" s="184">
        <f t="shared" si="134"/>
        <v>2.1111875446816485E-2</v>
      </c>
      <c r="FL86" s="184">
        <f>intermediates!$B$106</f>
        <v>4.5616870531049965E-2</v>
      </c>
      <c r="FM86" s="184">
        <f t="shared" si="135"/>
        <v>4.5616870531049965E-2</v>
      </c>
      <c r="FN86" s="218">
        <f>IF(A86&lt;intermediates!$B$29,0,IF(A86&lt;intermediates!$B$31,(data!A86-intermediates!$B$29)/(intermediates!$B$31-intermediates!$B$29),1))</f>
        <v>0.3</v>
      </c>
      <c r="FO86" s="218">
        <f t="shared" si="176"/>
        <v>1190746040740446.8</v>
      </c>
      <c r="FP86" s="218">
        <f t="shared" si="177"/>
        <v>1358803715634733.8</v>
      </c>
      <c r="FQ86" s="218">
        <f t="shared" si="178"/>
        <v>21694197239521.52</v>
      </c>
      <c r="FR86" s="218">
        <f t="shared" si="179"/>
        <v>2337274598825530</v>
      </c>
      <c r="FS86" s="218">
        <f t="shared" si="180"/>
        <v>2446545690714.9146</v>
      </c>
      <c r="FT86" s="218">
        <f>intermediates!$B$69*data!EU86/intermediates!$B$71</f>
        <v>2.4316504801197247</v>
      </c>
      <c r="FU86" s="218">
        <f>BC86*conversions!$C$1*1000000</f>
        <v>7012516966512.3984</v>
      </c>
      <c r="FV86" s="218">
        <f t="shared" si="184"/>
        <v>2883850711212.0532</v>
      </c>
      <c r="FX86" s="221"/>
      <c r="FY86" s="221"/>
      <c r="FZ86" s="221"/>
      <c r="GA86" s="218">
        <f t="shared" si="102"/>
        <v>478.59973483099452</v>
      </c>
      <c r="GB86" s="218">
        <f>GA86*1000000*10000*intermediates!$B$71/(intermediates!$B$72*data!EU86)</f>
        <v>2460261758134.2847</v>
      </c>
      <c r="GC86" s="218">
        <f t="shared" si="181"/>
        <v>8342191064840.2842</v>
      </c>
      <c r="GD86" s="218">
        <f t="shared" si="144"/>
        <v>16132849224901.535</v>
      </c>
      <c r="GE86" s="218">
        <f t="shared" si="182"/>
        <v>17286345374266.641</v>
      </c>
      <c r="GF86" s="218">
        <f t="shared" si="183"/>
        <v>364947170472.16962</v>
      </c>
      <c r="GG86" s="218">
        <f t="shared" si="136"/>
        <v>788548978892.93579</v>
      </c>
      <c r="GH86" s="218">
        <f t="shared" si="103"/>
        <v>9588606268331.248</v>
      </c>
      <c r="GI86" s="218">
        <f t="shared" si="145"/>
        <v>1200130487223.9512</v>
      </c>
      <c r="GJ86" s="218">
        <f>ET86*intermediates!$B$73/intermediates!$B$71</f>
        <v>3.6474757201795871</v>
      </c>
      <c r="GK86" s="218">
        <f>CL86*conversions!$C$1*1000000/data!GJ86</f>
        <v>2056382469947.2715</v>
      </c>
      <c r="GL86" s="218">
        <f>MIN(1,FN86)*(intermediates!$B$75-data!$GL$69)+data!$GL$69</f>
        <v>0.32816474734987156</v>
      </c>
      <c r="GM86" s="218">
        <f>GL86*intermediates!$B$74*(FS86+GC86+GK86+GG86+GF86+GB86+FV86)</f>
        <v>952140209408.06763</v>
      </c>
      <c r="GN86" s="218">
        <f>MIN(1,FN86)*intermediates!$B$76</f>
        <v>3.5999999999999997E-2</v>
      </c>
      <c r="GO86" s="218">
        <f t="shared" si="137"/>
        <v>730615249930.39124</v>
      </c>
      <c r="GP86" s="218">
        <f>IF(A86&gt;intermediates!$B$29,MIN(1,(A86-intermediates!$B$29)/(intermediates!$B$31-intermediates!$B$29))*intermediates!$B$77,0)</f>
        <v>4.4999999999999998E-2</v>
      </c>
      <c r="GQ86" s="218">
        <f>IF(AND(A86&gt;intermediates!$B$29+intermediates!$B$30,data!GP86&lt;intermediates!$B$77),1,0)</f>
        <v>0</v>
      </c>
      <c r="GR86" s="218">
        <f t="shared" si="104"/>
        <v>2169861453928.125</v>
      </c>
      <c r="GS86" s="218">
        <f t="shared" si="105"/>
        <v>44889541997002.023</v>
      </c>
      <c r="GT86" s="218">
        <f t="shared" si="97"/>
        <v>87886238749625</v>
      </c>
      <c r="GU86" s="218">
        <f t="shared" si="106"/>
        <v>41836956782928.125</v>
      </c>
      <c r="GV86" s="218">
        <f t="shared" si="107"/>
        <v>20294868053621.98</v>
      </c>
      <c r="GW86" s="218">
        <f t="shared" si="108"/>
        <v>3329601423622.9766</v>
      </c>
      <c r="GX86" s="218">
        <f>MIN(intermediates!$B$88,FN86*intermediates!$B$87*GO86)</f>
        <v>109592287489.55869</v>
      </c>
      <c r="GY86" s="218">
        <f t="shared" si="109"/>
        <v>621022962440.83252</v>
      </c>
      <c r="GZ86" s="218">
        <f>MIN(intermediates!$B$88-GX86,intermediates!$B$87*data!GW86*FN86)</f>
        <v>499440213543.44647</v>
      </c>
      <c r="HA86" s="218">
        <f t="shared" si="138"/>
        <v>2830161210079.5303</v>
      </c>
      <c r="HB86" s="218">
        <f t="shared" si="139"/>
        <v>609032501033.00513</v>
      </c>
      <c r="HC86" s="218">
        <f t="shared" si="110"/>
        <v>25145381412041.883</v>
      </c>
      <c r="HD86" s="218">
        <f>HC86*intermediates!$B$79/(10000*1000000000)</f>
        <v>1669.0046863036773</v>
      </c>
      <c r="HE86" s="218">
        <f>(GV86*intermediates!$B$80+GV86*GL86*intermediates!$B$82)/(10000*1000000000)</f>
        <v>657.9844271225096</v>
      </c>
      <c r="HF86" s="218">
        <f>GU86*intermediates!$B$78/(10000*1000000000)</f>
        <v>4212.9544556800238</v>
      </c>
      <c r="HG86" s="218">
        <f>HB86*intermediates!$B$81/(10000*1000000000)</f>
        <v>153.08854667912328</v>
      </c>
      <c r="HH86" s="218">
        <f t="shared" si="111"/>
        <v>21.748467763848566</v>
      </c>
      <c r="HI86" s="218">
        <f t="shared" si="112"/>
        <v>22.294748910683097</v>
      </c>
      <c r="HJ86" s="218">
        <f t="shared" si="113"/>
        <v>-38.323407059614169</v>
      </c>
      <c r="HK86" s="218">
        <f ca="1">SUM(HJ86:INDIRECT(ADDRESS(MAX(CELL("row",HJ86)-intermediates!$B$83,69),CELL("col",HJ86))))/intermediates!$B$83+SUM(HH86:INDIRECT(ADDRESS(MAX(CELL("row",HH86)-intermediates!$B$84,69),CELL("col",HH86))))/intermediates!$B$84+SUM(HI86:INDIRECT(ADDRESS(MAX(CELL("row",HI86)-intermediates!$B$85,69),CELL("col",HI86))))/intermediates!$B$85</f>
        <v>-8.906389682506072</v>
      </c>
      <c r="HL86" s="218">
        <f t="shared" ca="1" si="163"/>
        <v>-41.805051856679718</v>
      </c>
      <c r="HM86" s="188">
        <f t="shared" si="114"/>
        <v>2030</v>
      </c>
      <c r="HQ86" s="185">
        <f t="shared" si="115"/>
        <v>1246.6444493214035</v>
      </c>
      <c r="HR86" s="185">
        <f t="shared" si="116"/>
        <v>334.67717417044196</v>
      </c>
      <c r="HS86" s="185">
        <f t="shared" si="117"/>
        <v>285.51875092935092</v>
      </c>
      <c r="HT86" s="185">
        <f t="shared" si="118"/>
        <v>238.64767735023736</v>
      </c>
      <c r="HU86" s="185">
        <f t="shared" si="119"/>
        <v>110.49795104158341</v>
      </c>
      <c r="HV86" s="185">
        <f t="shared" si="120"/>
        <v>84.789495621902404</v>
      </c>
      <c r="HW86" s="185">
        <f t="shared" si="121"/>
        <v>251.81716131096664</v>
      </c>
      <c r="HX86" s="185">
        <f t="shared" si="122"/>
        <v>139.27776446204999</v>
      </c>
      <c r="HY86" s="185">
        <f t="shared" si="123"/>
        <v>2517.6589758239352</v>
      </c>
      <c r="HZ86" s="185">
        <f t="shared" si="140"/>
        <v>2552.5926597458861</v>
      </c>
      <c r="IA86" s="185">
        <f t="shared" si="141"/>
        <v>5209.5294000318718</v>
      </c>
      <c r="IB86" s="185">
        <f t="shared" si="124"/>
        <v>2219.7107555083453</v>
      </c>
      <c r="IC86" s="185">
        <f t="shared" si="175"/>
        <v>5595.9369180214808</v>
      </c>
      <c r="ID86" s="185">
        <f t="shared" si="125"/>
        <v>4603.4530569301305</v>
      </c>
      <c r="IE86" s="184">
        <f t="shared" si="142"/>
        <v>-0.66110031331677932</v>
      </c>
      <c r="IF86" s="184">
        <f t="shared" si="143"/>
        <v>-8.3938624595705044E-2</v>
      </c>
    </row>
    <row r="87" spans="1:240" x14ac:dyDescent="0.3">
      <c r="A87" s="211">
        <v>2031</v>
      </c>
      <c r="E87" s="207">
        <v>8405835.4340000004</v>
      </c>
      <c r="F87" s="207">
        <v>8618349.4539999906</v>
      </c>
      <c r="G87" s="207">
        <v>8830852.6329999994</v>
      </c>
      <c r="I87" s="207">
        <f t="shared" si="164"/>
        <v>8405835434</v>
      </c>
      <c r="J87" s="207">
        <f t="shared" si="164"/>
        <v>8618349453.9999905</v>
      </c>
      <c r="K87" s="207">
        <f t="shared" si="164"/>
        <v>8830852633</v>
      </c>
      <c r="L87" s="187">
        <f>IF(intermediates!$B$4&gt;=2,(intermediates!$B$4-2)*K87+(1-(intermediates!$B$4-2))*J87,(intermediates!$B$4-1)*J87+(1-(intermediates!$B$4-1))*I87)</f>
        <v>8696818262.5492687</v>
      </c>
      <c r="AJ87" s="184">
        <f>IF(intermediates!$B$46=0,$AJ$74+(intermediates!$B$15-$AJ$74)*MIN(1,(data!A87-data!$A$74)/(intermediates!$B$32-data!$A$74)),IF(A87&lt;2021,$AJ$74+(intermediates!$B$15-$AJ$74)*MIN(1,(data!A87-data!$A$74)/(intermediates!$B$32-data!$A$74)),intermediates!$B$47+(intermediates!$B$15-intermediates!$B$47)*MIN(1,(data!A87-$A$77)/(intermediates!$B$32-$A$77))))</f>
        <v>22747.821387072876</v>
      </c>
      <c r="AK87" s="192">
        <f t="shared" si="146"/>
        <v>22747.821387072876</v>
      </c>
      <c r="AL87" s="192">
        <f t="shared" si="185"/>
        <v>197833668472304.22</v>
      </c>
      <c r="AM87" s="192">
        <f>data!AL87/(1000000*conversions!$C$1)</f>
        <v>16957.171583340361</v>
      </c>
      <c r="AN87" s="192">
        <f>IF(intermediates!$B$13=1,($AJ$74+(27400-$AJ$74)*MIN(1,(data!A87-data!$A$74)/(intermediates!$B$32-data!$A$74)))*L87/(1000000*conversions!$C$1),data!AM87)</f>
        <v>16957.171583340361</v>
      </c>
      <c r="AV87" s="214">
        <f>IF(A87&lt;intermediates!$B$29,0,IF(A87&lt;intermediates!$B$31,(data!A87-intermediates!$B$29)*intermediates!$B$26/(intermediates!$B$31-intermediates!$B$29),intermediates!$B$26))</f>
        <v>3.3333333333333335</v>
      </c>
      <c r="AW87" s="212">
        <f>MIN(AW86+intermediates!$B$16,intermediates!$B$17*data!$AW$74)</f>
        <v>1255.5982886676368</v>
      </c>
      <c r="AX87" s="212">
        <f>AV87*1000/conversions!$C$16/intermediates!$B$40</f>
        <v>2729.0194989354272</v>
      </c>
      <c r="AY87" s="212">
        <f>AX87*(1-intermediates!$B$39)*intermediates!$B$28/(conversions!$C$2)</f>
        <v>714.34334576529545</v>
      </c>
      <c r="AZ87" s="213">
        <f>IF(A87&lt;intermediates!$B$29,0,MIN(intermediates!$B$25,intermediates!$B$25*(A87-intermediates!$B$29)/(intermediates!$B$31-intermediates!$B$29)))</f>
        <v>0</v>
      </c>
      <c r="BA87" s="212">
        <f>IF(A87&lt;intermediates!$B$29,data!$BA$74,IF(intermediates!$B$23&gt;data!$BA$74,MIN(intermediates!$B$23,data!$BA$74+(intermediates!$B$23-data!$BA$74)*((data!A87-intermediates!$B$29)/(intermediates!$B$31-intermediates!$B$29))),MAX(intermediates!$B$23,data!$BA$74+(intermediates!$B$23-data!$BA$74)*((data!A87-intermediates!$B$29)/(intermediates!$B$31-intermediates!$B$29)))))</f>
        <v>3.8061174910474824E-2</v>
      </c>
      <c r="BB87" s="212">
        <f t="shared" si="147"/>
        <v>645.40987362045075</v>
      </c>
      <c r="BC87" s="212">
        <f t="shared" si="166"/>
        <v>645.40987362045075</v>
      </c>
      <c r="BD87" s="212">
        <f t="shared" si="167"/>
        <v>0</v>
      </c>
      <c r="BE87" s="214">
        <f>MAX(0,MIN(1,(data!A87-intermediates!$B$29)/(intermediates!$B$31-intermediates!$B$29)))*((intermediates!$B$38*L87)-$BE$69*1000000000)/1000000000+$BE$69</f>
        <v>510.4333682661686</v>
      </c>
      <c r="BF87" s="214">
        <f t="shared" si="99"/>
        <v>510.4333682661686</v>
      </c>
      <c r="BG87" s="214">
        <f t="shared" si="168"/>
        <v>0</v>
      </c>
      <c r="BH87" s="214">
        <f>BD87*conversions!$C$2/conversions!$C$17+BG87*conversions!$C$6/conversions!$C$10</f>
        <v>0</v>
      </c>
      <c r="BI87" s="214">
        <f>BH87*intermediates!$B$41*conversions!$C$11/(conversions!$C$2*conversions!$C$6*intermediates!$B$42)</f>
        <v>0</v>
      </c>
      <c r="BJ87" s="214">
        <f>BH87*intermediates!$B$43/(conversions!$C$1*intermediates!$B$42)</f>
        <v>0</v>
      </c>
      <c r="BK87" s="214">
        <f t="shared" si="148"/>
        <v>0</v>
      </c>
      <c r="BL87" s="214">
        <f t="shared" si="149"/>
        <v>16957.171583340361</v>
      </c>
      <c r="BM87" s="214">
        <f t="shared" si="150"/>
        <v>14341.820075286978</v>
      </c>
      <c r="BN87" s="214">
        <f>IF(A87&lt;intermediates!$B$29,MIN(BO86+intermediates!$B$33*AN86),MIN(BO86*intermediates!$B$35,BO86+intermediates!$B$37*AN86))</f>
        <v>3802.2667258233942</v>
      </c>
      <c r="BO87" s="212">
        <f>IF(A87&lt;intermediates!$B$29,MIN(BM87,BO86+intermediates!$B$33*AN86),MIN(BM87,BO86*intermediates!$B$35,BO86+intermediates!$B$37*AN86))</f>
        <v>3802.2667258233942</v>
      </c>
      <c r="BP87" s="214">
        <f t="shared" si="151"/>
        <v>0</v>
      </c>
      <c r="BQ87" s="214">
        <f t="shared" si="152"/>
        <v>10539.553349463586</v>
      </c>
      <c r="BR87" s="212" t="str">
        <f t="shared" si="186"/>
        <v/>
      </c>
      <c r="BS87" s="212">
        <f>BP87*conversions!$C$1*intermediates!$B$42/intermediates!$B$43</f>
        <v>0</v>
      </c>
      <c r="BT87" s="214">
        <f>MIN(BT86+BS87,intermediates!$B$27*1000)</f>
        <v>0</v>
      </c>
      <c r="BU87" s="219" t="str">
        <f>IF(AND(BT87=intermediates!$B$27*1000,BT86&lt;&gt;intermediates!$B$27*1000),A87,"")</f>
        <v/>
      </c>
      <c r="BV87" s="212">
        <f>BT87*intermediates!$B$43/(conversions!$C$1*intermediates!$B$42)</f>
        <v>0</v>
      </c>
      <c r="BW87" s="214">
        <f t="shared" si="153"/>
        <v>16957.171583340361</v>
      </c>
      <c r="BX87" s="214">
        <f t="shared" si="154"/>
        <v>3802.2667258233942</v>
      </c>
      <c r="BY87" s="227">
        <f>IF(OR(BQ87&gt;0,BT87&lt;&gt;intermediates!$B$27*1000),MAX(0,(BX87-BX86)/AM86),0.000000000001)</f>
        <v>2.9986327406272398E-2</v>
      </c>
      <c r="BZ87" s="322">
        <f>BH87*intermediates!$B$49*1000000</f>
        <v>0</v>
      </c>
      <c r="CA87" s="322">
        <f>BI87*conversions!$C$1*1000000*intermediates!$B$50</f>
        <v>0</v>
      </c>
      <c r="CB87" s="322">
        <f>BT87*1000000*intermediates!$B$49</f>
        <v>0</v>
      </c>
      <c r="CC87" s="214">
        <f>BW87*conversions!$C$1*1000000/L87</f>
        <v>22747.821387072872</v>
      </c>
      <c r="CD87" s="173">
        <f t="shared" si="100"/>
        <v>2031</v>
      </c>
      <c r="CE87" s="173"/>
      <c r="CF87" s="173"/>
      <c r="CG87" s="173"/>
      <c r="CH87" s="173"/>
      <c r="CI87" s="173">
        <f t="shared" si="155"/>
        <v>10539.553349463586</v>
      </c>
      <c r="CJ87" s="173">
        <f t="shared" si="156"/>
        <v>1255.5982886676368</v>
      </c>
      <c r="CK87" s="173">
        <f t="shared" si="157"/>
        <v>645.40987362045075</v>
      </c>
      <c r="CL87" s="173">
        <f t="shared" si="158"/>
        <v>714.34334576529545</v>
      </c>
      <c r="CM87" s="173"/>
      <c r="CN87" s="173"/>
      <c r="CO87" s="329">
        <f t="shared" si="169"/>
        <v>3802.2667258233942</v>
      </c>
      <c r="CP87" s="174">
        <f t="shared" si="159"/>
        <v>36.239755535325692</v>
      </c>
      <c r="CQ87" s="228">
        <f t="shared" si="160"/>
        <v>3.3333333333333335</v>
      </c>
      <c r="CR87" s="228">
        <f t="shared" si="170"/>
        <v>18.333333333333332</v>
      </c>
      <c r="CS87" s="214">
        <f t="shared" ca="1" si="161"/>
        <v>42.802962716155918</v>
      </c>
      <c r="CT87" s="190">
        <f t="shared" ca="1" si="162"/>
        <v>4.9216807140234788</v>
      </c>
      <c r="CU87" s="190">
        <f t="shared" ca="1" si="187"/>
        <v>42.802962716155918</v>
      </c>
      <c r="CV87" s="198">
        <f t="shared" si="174"/>
        <v>2809.2678434213599</v>
      </c>
      <c r="CW87" s="198">
        <f t="shared" ca="1" si="171"/>
        <v>2862.5484384750926</v>
      </c>
      <c r="CX87" s="198">
        <f t="shared" ca="1" si="172"/>
        <v>2842.6361024588709</v>
      </c>
      <c r="CY87" s="198">
        <f t="shared" ca="1" si="173"/>
        <v>-19.912336016223158</v>
      </c>
      <c r="CZ87" s="199">
        <f ca="1">IF(CX87&lt;intermediates!$B$55,intermediates!$B$56+(CX87-intermediates!$B$55)*intermediates!$B$53,intermediates!$B$56+(data!CX87-intermediates!$B$55)*intermediates!$B$58)</f>
        <v>1.51491640928506</v>
      </c>
      <c r="DG87" s="201">
        <f>IF(A87&gt;MAX(intermediates!B$31,intermediates!$B$32),DG86,DG86+intermediates!$B$60*DG$73)</f>
        <v>16641400707500</v>
      </c>
      <c r="DH87" s="201">
        <f>IF(A87&gt;MAX(intermediates!B$31,intermediates!$B$32),DH86,DH86+intermediates!$B$61*DH$73)</f>
        <v>31573246371250</v>
      </c>
      <c r="DI87" s="201">
        <f>IF(A87&gt;MAX(intermediates!B$31,intermediates!$B$32),DI86,DI86+intermediates!$B$62*DI$73)</f>
        <v>39642153722000</v>
      </c>
      <c r="DJ87" s="221"/>
      <c r="EE87" s="218"/>
      <c r="EF87" s="212">
        <f>$EF$69+intermediates!$B$90*(A87-2013)*intermediates!$B$92+intermediates!$B$91*intermediates!$B$92*(A87-2013)^2</f>
        <v>2919.0897085492188</v>
      </c>
      <c r="EH87" s="212">
        <f>IF(A87&lt;intermediates!$B$29,data!EH86,IF(A87&lt;intermediates!$B$31,data!$EH$69+(intermediates!$B$93-data!$EH$69)*(data!A87-intermediates!$B$29)/(intermediates!$B$31-intermediates!$B$29),intermediates!$B$93))</f>
        <v>0.12500028618525208</v>
      </c>
      <c r="EI87" s="212">
        <f t="shared" si="128"/>
        <v>0.12500028618525208</v>
      </c>
      <c r="EN87" s="218"/>
      <c r="EO87" s="212">
        <f t="shared" si="129"/>
        <v>2554.2026595801426</v>
      </c>
      <c r="EQ87" s="212">
        <f t="shared" si="130"/>
        <v>364.8870489690762</v>
      </c>
      <c r="ET87" s="214">
        <f>IF(A87&lt;intermediates!$B$29,ET86+intermediates!$B$63,ET86+intermediates!$B$63*intermediates!$B$67)</f>
        <v>965.31217178020086</v>
      </c>
      <c r="EU87" s="215">
        <f t="shared" si="131"/>
        <v>965.31217178020086</v>
      </c>
      <c r="EV87" s="216">
        <f>data!EU87*conversions!$C$13</f>
        <v>1.1226580557803736</v>
      </c>
      <c r="EX87" s="212">
        <f>intermediates!$B$64+intermediates!$B$64*(EXP(-(data!A87-intermediates!$B$66)/intermediates!$B$65)-1)</f>
        <v>1.5668849969760992E-2</v>
      </c>
      <c r="EY87" s="217">
        <f>IF(A87&lt;intermediates!$B$29,data!EX87,data!EY86+(data!EX87-data!EX86)*intermediates!$B$68)</f>
        <v>1.5668849969760992E-2</v>
      </c>
      <c r="EZ87" s="217">
        <f t="shared" si="132"/>
        <v>1.5668849969760992E-2</v>
      </c>
      <c r="FB87" s="212">
        <f>intermediates!$B$94+intermediates!$B$95+(intermediates!$B$95*(EXP(-(data!A87-intermediates!$B$97)/intermediates!$B$96)-1))</f>
        <v>1.714095143088451</v>
      </c>
      <c r="FC87" s="217">
        <f>IF(A87&lt;intermediates!$B$29,data!FB87,data!FC86+(data!FB87-data!FB86)*intermediates!$B$68)</f>
        <v>1.714095143088451</v>
      </c>
      <c r="FD87" s="212">
        <f t="shared" si="133"/>
        <v>1.714095143088451</v>
      </c>
      <c r="FF87" s="184">
        <f>intermediates!$B$98+intermediates!$B$99*EXP(-(A87-intermediates!$B$101)/intermediates!$B$100)</f>
        <v>0.87705634524034459</v>
      </c>
      <c r="FG87" s="184">
        <f t="shared" si="101"/>
        <v>0.87705634524034459</v>
      </c>
      <c r="FI87" s="184">
        <f>intermediates!$B$102+intermediates!$B$103*EXP(-(A87-intermediates!$B$105)/intermediates!$B$104)</f>
        <v>2.0888760752460767E-2</v>
      </c>
      <c r="FJ87" s="184">
        <f t="shared" si="134"/>
        <v>2.0888760752460767E-2</v>
      </c>
      <c r="FL87" s="184">
        <f>intermediates!$B$106</f>
        <v>4.5616870531049965E-2</v>
      </c>
      <c r="FM87" s="184">
        <f t="shared" si="135"/>
        <v>4.5616870531049965E-2</v>
      </c>
      <c r="FN87" s="218">
        <f>IF(A87&lt;intermediates!$B$29,0,IF(A87&lt;intermediates!$B$31,(data!A87-intermediates!$B$29)/(intermediates!$B$31-intermediates!$B$29),1))</f>
        <v>0.33333333333333331</v>
      </c>
      <c r="FO87" s="218">
        <f t="shared" si="176"/>
        <v>1158275068203319.5</v>
      </c>
      <c r="FP87" s="218">
        <f t="shared" si="177"/>
        <v>1320639289013878.5</v>
      </c>
      <c r="FQ87" s="218">
        <f t="shared" si="178"/>
        <v>20692898883730.289</v>
      </c>
      <c r="FR87" s="218">
        <f t="shared" si="179"/>
        <v>2263701391070474.5</v>
      </c>
      <c r="FS87" s="218">
        <f t="shared" si="180"/>
        <v>2345045941869.5835</v>
      </c>
      <c r="FT87" s="218">
        <f>intermediates!$B$69*data!EU87/intermediates!$B$71</f>
        <v>2.4570416848326495</v>
      </c>
      <c r="FU87" s="218">
        <f>BC87*conversions!$C$1*1000000</f>
        <v>7529781858905.2588</v>
      </c>
      <c r="FV87" s="218">
        <f t="shared" si="184"/>
        <v>3064572288450.2534</v>
      </c>
      <c r="FX87" s="221"/>
      <c r="FY87" s="221"/>
      <c r="FZ87" s="221"/>
      <c r="GA87" s="218">
        <f t="shared" si="102"/>
        <v>510.4333682661686</v>
      </c>
      <c r="GB87" s="218">
        <f>GA87*1000000*10000*intermediates!$B$71/(intermediates!$B$72*data!EU87)</f>
        <v>2596788301441.3247</v>
      </c>
      <c r="GC87" s="218">
        <f t="shared" si="181"/>
        <v>8399256219591.5732</v>
      </c>
      <c r="GD87" s="218">
        <f t="shared" si="144"/>
        <v>16405662751352.736</v>
      </c>
      <c r="GE87" s="218">
        <f t="shared" si="182"/>
        <v>17574463543802.357</v>
      </c>
      <c r="GF87" s="218">
        <f t="shared" si="183"/>
        <v>367108764319.33124</v>
      </c>
      <c r="GG87" s="218">
        <f t="shared" si="136"/>
        <v>801692028130.28967</v>
      </c>
      <c r="GH87" s="218">
        <f t="shared" si="103"/>
        <v>9599153104831.5703</v>
      </c>
      <c r="GI87" s="218">
        <f t="shared" si="145"/>
        <v>1145149056629.5859</v>
      </c>
      <c r="GJ87" s="218">
        <f>ET87*intermediates!$B$73/intermediates!$B$71</f>
        <v>3.6855625272489743</v>
      </c>
      <c r="GK87" s="218">
        <f>CL87*conversions!$C$1*1000000/data!GJ87</f>
        <v>2261257444142.6968</v>
      </c>
      <c r="GL87" s="218">
        <f>MIN(1,FN87)*(intermediates!$B$75-data!$GL$69)+data!$GL$69</f>
        <v>0.36015690223797292</v>
      </c>
      <c r="GM87" s="218">
        <f>GL87*intermediates!$B$74*(FS87+GC87+GK87+GG87+GF87+GB87+FV87)</f>
        <v>1071595773701.2549</v>
      </c>
      <c r="GN87" s="218">
        <f>MIN(1,FN87)*intermediates!$B$76</f>
        <v>3.9999999999999994E-2</v>
      </c>
      <c r="GO87" s="218">
        <f t="shared" si="137"/>
        <v>836292670465.85205</v>
      </c>
      <c r="GP87" s="218">
        <f>IF(A87&gt;intermediates!$B$29,MIN(1,(A87-intermediates!$B$29)/(intermediates!$B$31-intermediates!$B$29))*intermediates!$B$77,0)</f>
        <v>4.9999999999999996E-2</v>
      </c>
      <c r="GQ87" s="218">
        <f>IF(AND(A87&gt;intermediates!$B$29+intermediates!$B$30,data!GP87&lt;intermediates!$B$77),1,0)</f>
        <v>0</v>
      </c>
      <c r="GR87" s="218">
        <f t="shared" si="104"/>
        <v>2410732353937.5</v>
      </c>
      <c r="GS87" s="218">
        <f t="shared" si="105"/>
        <v>44847240669779.945</v>
      </c>
      <c r="GT87" s="218">
        <f t="shared" si="97"/>
        <v>87856800800750</v>
      </c>
      <c r="GU87" s="218">
        <f t="shared" si="106"/>
        <v>42052886075937.5</v>
      </c>
      <c r="GV87" s="218">
        <f t="shared" si="107"/>
        <v>20907316761646.305</v>
      </c>
      <c r="GW87" s="218">
        <f t="shared" si="108"/>
        <v>3367406408970.0547</v>
      </c>
      <c r="GX87" s="218">
        <f>MIN(intermediates!$B$88,FN87*intermediates!$B$87*GO87)</f>
        <v>139382111744.30865</v>
      </c>
      <c r="GY87" s="218">
        <f t="shared" si="109"/>
        <v>696910558721.54346</v>
      </c>
      <c r="GZ87" s="218">
        <f>MIN(intermediates!$B$88-GX87,intermediates!$B$87*data!GW87*FN87)</f>
        <v>561234401495.00903</v>
      </c>
      <c r="HA87" s="218">
        <f t="shared" si="138"/>
        <v>2806172007475.0459</v>
      </c>
      <c r="HB87" s="218">
        <f t="shared" si="139"/>
        <v>700616513239.31763</v>
      </c>
      <c r="HC87" s="218">
        <f t="shared" si="110"/>
        <v>24195981449926.879</v>
      </c>
      <c r="HD87" s="218">
        <f>HC87*intermediates!$B$79/(10000*1000000000)</f>
        <v>1605.9890191327811</v>
      </c>
      <c r="HE87" s="218">
        <f>(GV87*intermediates!$B$80+GV87*GL87*intermediates!$B$82)/(10000*1000000000)</f>
        <v>682.68122693473049</v>
      </c>
      <c r="HF87" s="218">
        <f>GU87*intermediates!$B$78/(10000*1000000000)</f>
        <v>4234.6983956567219</v>
      </c>
      <c r="HG87" s="218">
        <f>HB87*intermediates!$B$81/(10000*1000000000)</f>
        <v>176.10942537431077</v>
      </c>
      <c r="HH87" s="218">
        <f t="shared" si="111"/>
        <v>21.74393997669813</v>
      </c>
      <c r="HI87" s="218">
        <f t="shared" si="112"/>
        <v>23.020878695187491</v>
      </c>
      <c r="HJ87" s="218">
        <f t="shared" si="113"/>
        <v>-38.318867358675334</v>
      </c>
      <c r="HK87" s="218">
        <f ca="1">SUM(HJ87:INDIRECT(ADDRESS(MAX(CELL("row",HJ87)-intermediates!$B$83,69),CELL("col",HJ87))))/intermediates!$B$83+SUM(HH87:INDIRECT(ADDRESS(MAX(CELL("row",HH87)-intermediates!$B$84,69),CELL("col",HH87))))/intermediates!$B$84+SUM(HI87:INDIRECT(ADDRESS(MAX(CELL("row",HI87)-intermediates!$B$85,69),CELL("col",HI87))))/intermediates!$B$85</f>
        <v>-9.8965405141635632</v>
      </c>
      <c r="HL87" s="218">
        <f t="shared" ca="1" si="163"/>
        <v>-51.701592370843279</v>
      </c>
      <c r="HM87" s="188">
        <f t="shared" si="114"/>
        <v>2031</v>
      </c>
      <c r="HQ87" s="185">
        <f t="shared" si="115"/>
        <v>1238.1486622125663</v>
      </c>
      <c r="HR87" s="185">
        <f t="shared" si="116"/>
        <v>352.37855913893111</v>
      </c>
      <c r="HS87" s="185">
        <f t="shared" si="117"/>
        <v>298.59061360679016</v>
      </c>
      <c r="HT87" s="185">
        <f t="shared" si="118"/>
        <v>260.00973872022274</v>
      </c>
      <c r="HU87" s="185">
        <f t="shared" si="119"/>
        <v>123.21699055340977</v>
      </c>
      <c r="HV87" s="185">
        <f t="shared" si="120"/>
        <v>96.160761926823625</v>
      </c>
      <c r="HW87" s="185">
        <f t="shared" si="121"/>
        <v>277.19704852506027</v>
      </c>
      <c r="HX87" s="185">
        <f t="shared" si="122"/>
        <v>131.67448393867119</v>
      </c>
      <c r="HY87" s="185">
        <f t="shared" si="123"/>
        <v>2379.3642984169533</v>
      </c>
      <c r="HZ87" s="185">
        <f t="shared" si="140"/>
        <v>2645.702374683804</v>
      </c>
      <c r="IA87" s="185">
        <f t="shared" si="141"/>
        <v>5156.7411570394288</v>
      </c>
      <c r="IB87" s="185">
        <f t="shared" si="124"/>
        <v>2229.5487412349826</v>
      </c>
      <c r="IC87" s="185">
        <f t="shared" si="175"/>
        <v>5543.9409705012058</v>
      </c>
      <c r="ID87" s="185">
        <f t="shared" si="125"/>
        <v>4558.2364176458977</v>
      </c>
      <c r="IE87" s="184">
        <f t="shared" si="142"/>
        <v>-0.63582454490462736</v>
      </c>
      <c r="IF87" s="184">
        <f t="shared" si="143"/>
        <v>-8.4945092352569654E-2</v>
      </c>
    </row>
    <row r="88" spans="1:240" x14ac:dyDescent="0.3">
      <c r="A88" s="211">
        <v>2032</v>
      </c>
      <c r="E88" s="207">
        <v>8445931.9220000003</v>
      </c>
      <c r="F88" s="207">
        <v>8687227.8729999997</v>
      </c>
      <c r="G88" s="207">
        <v>8928511.5260000005</v>
      </c>
      <c r="I88" s="207">
        <f t="shared" si="164"/>
        <v>8445931922</v>
      </c>
      <c r="J88" s="207">
        <f t="shared" si="164"/>
        <v>8687227873</v>
      </c>
      <c r="K88" s="207">
        <f t="shared" si="164"/>
        <v>8928511526</v>
      </c>
      <c r="L88" s="187">
        <f>IF(intermediates!$B$4&gt;=2,(intermediates!$B$4-2)*K88+(1-(intermediates!$B$4-2))*J88,(intermediates!$B$4-1)*J88+(1-(intermediates!$B$4-1))*I88)</f>
        <v>8776324143.7589741</v>
      </c>
      <c r="AJ88" s="184">
        <f>IF(intermediates!$B$46=0,$AJ$74+(intermediates!$B$15-$AJ$74)*MIN(1,(data!A88-data!$A$74)/(intermediates!$B$32-data!$A$74)),IF(A88&lt;2021,$AJ$74+(intermediates!$B$15-$AJ$74)*MIN(1,(data!A88-data!$A$74)/(intermediates!$B$32-data!$A$74)),intermediates!$B$47+(intermediates!$B$15-intermediates!$B$47)*MIN(1,(data!A88-$A$77)/(intermediates!$B$32-$A$77))))</f>
        <v>22867.108018173571</v>
      </c>
      <c r="AK88" s="192">
        <f t="shared" si="146"/>
        <v>22867.108018173571</v>
      </c>
      <c r="AL88" s="192">
        <f t="shared" si="185"/>
        <v>200689152197841.13</v>
      </c>
      <c r="AM88" s="192">
        <f>data!AL88/(1000000*conversions!$C$1)</f>
        <v>17201.927331243525</v>
      </c>
      <c r="AN88" s="192">
        <f>IF(intermediates!$B$13=1,($AJ$74+(27400-$AJ$74)*MIN(1,(data!A88-data!$A$74)/(intermediates!$B$32-data!$A$74)))*L88/(1000000*conversions!$C$1),data!AM88)</f>
        <v>17201.927331243525</v>
      </c>
      <c r="AV88" s="214">
        <f>IF(A88&lt;intermediates!$B$29,0,IF(A88&lt;intermediates!$B$31,(data!A88-intermediates!$B$29)*intermediates!$B$26/(intermediates!$B$31-intermediates!$B$29),intermediates!$B$26))</f>
        <v>3.6666666666666665</v>
      </c>
      <c r="AW88" s="212">
        <f>MIN(AW87+intermediates!$B$16,intermediates!$B$17*data!$AW$74)</f>
        <v>1279.1985498548461</v>
      </c>
      <c r="AX88" s="212">
        <f>AV88*1000/conversions!$C$16/intermediates!$B$40</f>
        <v>3001.9214488289695</v>
      </c>
      <c r="AY88" s="212">
        <f>AX88*(1-intermediates!$B$39)*intermediates!$B$28/(conversions!$C$2)</f>
        <v>785.77768034182486</v>
      </c>
      <c r="AZ88" s="213">
        <f>IF(A88&lt;intermediates!$B$29,0,MIN(intermediates!$B$25,intermediates!$B$25*(A88-intermediates!$B$29)/(intermediates!$B$31-intermediates!$B$29)))</f>
        <v>0</v>
      </c>
      <c r="BA88" s="212">
        <f>IF(A88&lt;intermediates!$B$29,data!$BA$74,IF(intermediates!$B$23&gt;data!$BA$74,MIN(intermediates!$B$23,data!$BA$74+(intermediates!$B$23-data!$BA$74)*((data!A88-intermediates!$B$29)/(intermediates!$B$31-intermediates!$B$29))),MAX(intermediates!$B$23,data!$BA$74+(intermediates!$B$23-data!$BA$74)*((data!A88-intermediates!$B$29)/(intermediates!$B$31-intermediates!$B$29)))))</f>
        <v>4.0158116164951074E-2</v>
      </c>
      <c r="BB88" s="212">
        <f t="shared" si="147"/>
        <v>690.79699602912433</v>
      </c>
      <c r="BC88" s="212">
        <f t="shared" si="166"/>
        <v>690.79699602912433</v>
      </c>
      <c r="BD88" s="212">
        <f t="shared" si="167"/>
        <v>0</v>
      </c>
      <c r="BE88" s="214">
        <f>MAX(0,MIN(1,(data!A88-intermediates!$B$29)/(intermediates!$B$31-intermediates!$B$29)))*((intermediates!$B$38*L88)-$BE$69*1000000000)/1000000000+$BE$69</f>
        <v>542.91083354923785</v>
      </c>
      <c r="BF88" s="214">
        <f t="shared" si="99"/>
        <v>542.91083354923785</v>
      </c>
      <c r="BG88" s="214">
        <f t="shared" si="168"/>
        <v>0</v>
      </c>
      <c r="BH88" s="214">
        <f>BD88*conversions!$C$2/conversions!$C$17+BG88*conversions!$C$6/conversions!$C$10</f>
        <v>0</v>
      </c>
      <c r="BI88" s="214">
        <f>BH88*intermediates!$B$41*conversions!$C$11/(conversions!$C$2*conversions!$C$6*intermediates!$B$42)</f>
        <v>0</v>
      </c>
      <c r="BJ88" s="214">
        <f>BH88*intermediates!$B$43/(conversions!$C$1*intermediates!$B$42)</f>
        <v>0</v>
      </c>
      <c r="BK88" s="214">
        <f t="shared" si="148"/>
        <v>0</v>
      </c>
      <c r="BL88" s="214">
        <f t="shared" si="149"/>
        <v>17201.927331243525</v>
      </c>
      <c r="BM88" s="214">
        <f t="shared" si="150"/>
        <v>14446.154105017729</v>
      </c>
      <c r="BN88" s="214">
        <f>IF(A88&lt;intermediates!$B$29,MIN(BO87+intermediates!$B$33*AN87),MIN(BO87*intermediates!$B$35,BO87+intermediates!$B$37*AN87))</f>
        <v>4310.7500248057768</v>
      </c>
      <c r="BO88" s="212">
        <f>IF(A88&lt;intermediates!$B$29,MIN(BM88,BO87+intermediates!$B$33*AN87),MIN(BM88,BO87*intermediates!$B$35,BO87+intermediates!$B$37*AN87))</f>
        <v>4310.7500248057768</v>
      </c>
      <c r="BP88" s="214">
        <f t="shared" si="151"/>
        <v>0</v>
      </c>
      <c r="BQ88" s="214">
        <f t="shared" si="152"/>
        <v>10135.404080211954</v>
      </c>
      <c r="BR88" s="212" t="str">
        <f t="shared" si="186"/>
        <v/>
      </c>
      <c r="BS88" s="212">
        <f>BP88*conversions!$C$1*intermediates!$B$42/intermediates!$B$43</f>
        <v>0</v>
      </c>
      <c r="BT88" s="214">
        <f>MIN(BT87+BS88,intermediates!$B$27*1000)</f>
        <v>0</v>
      </c>
      <c r="BU88" s="219" t="str">
        <f>IF(AND(BT88=intermediates!$B$27*1000,BT87&lt;&gt;intermediates!$B$27*1000),A88,"")</f>
        <v/>
      </c>
      <c r="BV88" s="212">
        <f>BT88*intermediates!$B$43/(conversions!$C$1*intermediates!$B$42)</f>
        <v>0</v>
      </c>
      <c r="BW88" s="214">
        <f t="shared" si="153"/>
        <v>17201.927331243525</v>
      </c>
      <c r="BX88" s="214">
        <f t="shared" si="154"/>
        <v>4310.7500248057768</v>
      </c>
      <c r="BY88" s="227">
        <f>IF(OR(BQ88&gt;0,BT88&lt;&gt;intermediates!$B$27*1000),MAX(0,(BX88-BX87)/AM87),0.000000000001)</f>
        <v>2.9986327406272401E-2</v>
      </c>
      <c r="BZ88" s="322">
        <f>BH88*intermediates!$B$49*1000000</f>
        <v>0</v>
      </c>
      <c r="CA88" s="322">
        <f>BI88*conversions!$C$1*1000000*intermediates!$B$50</f>
        <v>0</v>
      </c>
      <c r="CB88" s="322">
        <f>BT88*1000000*intermediates!$B$49</f>
        <v>0</v>
      </c>
      <c r="CC88" s="214">
        <f>BW88*conversions!$C$1*1000000/L88</f>
        <v>22867.108018173567</v>
      </c>
      <c r="CD88" s="173">
        <f t="shared" si="100"/>
        <v>2032</v>
      </c>
      <c r="CE88" s="173"/>
      <c r="CF88" s="173"/>
      <c r="CG88" s="173"/>
      <c r="CH88" s="173"/>
      <c r="CI88" s="173">
        <f t="shared" si="155"/>
        <v>10135.404080211954</v>
      </c>
      <c r="CJ88" s="173">
        <f t="shared" si="156"/>
        <v>1279.1985498548461</v>
      </c>
      <c r="CK88" s="173">
        <f t="shared" si="157"/>
        <v>690.79699602912433</v>
      </c>
      <c r="CL88" s="173">
        <f t="shared" si="158"/>
        <v>785.77768034182486</v>
      </c>
      <c r="CM88" s="173"/>
      <c r="CN88" s="173"/>
      <c r="CO88" s="329">
        <f t="shared" si="169"/>
        <v>4310.7500248057768</v>
      </c>
      <c r="CP88" s="174">
        <f t="shared" si="159"/>
        <v>34.850107394476808</v>
      </c>
      <c r="CQ88" s="228">
        <f t="shared" si="160"/>
        <v>3.6666666666666665</v>
      </c>
      <c r="CR88" s="228">
        <f t="shared" si="170"/>
        <v>22</v>
      </c>
      <c r="CS88" s="214">
        <f t="shared" ca="1" si="161"/>
        <v>42.061170893400245</v>
      </c>
      <c r="CT88" s="190">
        <f t="shared" ca="1" si="162"/>
        <v>4.7925726311408878</v>
      </c>
      <c r="CU88" s="190">
        <f t="shared" ca="1" si="187"/>
        <v>42.061170893400245</v>
      </c>
      <c r="CV88" s="198">
        <f t="shared" si="174"/>
        <v>2844.1179508158366</v>
      </c>
      <c r="CW88" s="198">
        <f t="shared" ca="1" si="171"/>
        <v>2908.2762760351593</v>
      </c>
      <c r="CX88" s="198">
        <f t="shared" ca="1" si="172"/>
        <v>2884.6972733522712</v>
      </c>
      <c r="CY88" s="198">
        <f t="shared" ca="1" si="173"/>
        <v>-23.579002682889826</v>
      </c>
      <c r="CZ88" s="199">
        <f ca="1">IF(CX88&lt;intermediates!$B$55,intermediates!$B$56+(CX88-intermediates!$B$55)*intermediates!$B$53,intermediates!$B$56+(data!CX88-intermediates!$B$55)*intermediates!$B$58)</f>
        <v>1.5377892613020729</v>
      </c>
      <c r="DG88" s="201">
        <f>IF(A88&gt;MAX(intermediates!B$31,intermediates!$B$32),DG87,DG87+intermediates!$B$60*DG$73)</f>
        <v>16714831648750</v>
      </c>
      <c r="DH88" s="201">
        <f>IF(A88&gt;MAX(intermediates!B$31,intermediates!$B$32),DH87,DH87+intermediates!$B$61*DH$73)</f>
        <v>31495319088125</v>
      </c>
      <c r="DI88" s="201">
        <f>IF(A88&gt;MAX(intermediates!B$31,intermediates!$B$32),DI87,DI87+intermediates!$B$62*DI$73)</f>
        <v>39617212115000</v>
      </c>
      <c r="DJ88" s="221"/>
      <c r="EE88" s="218"/>
      <c r="EF88" s="212">
        <f>$EF$69+intermediates!$B$90*(A88-2013)*intermediates!$B$92+intermediates!$B$91*intermediates!$B$92*(A88-2013)^2</f>
        <v>2925.5549985492185</v>
      </c>
      <c r="EH88" s="212">
        <f>IF(A88&lt;intermediates!$B$29,data!EH87,IF(A88&lt;intermediates!$B$31,data!$EH$69+(intermediates!$B$93-data!$EH$69)*(data!A88-intermediates!$B$29)/(intermediates!$B$31-intermediates!$B$29),intermediates!$B$93))</f>
        <v>0.12001137804853471</v>
      </c>
      <c r="EI88" s="212">
        <f t="shared" si="128"/>
        <v>0.12001137804853471</v>
      </c>
      <c r="EN88" s="218"/>
      <c r="EO88" s="212">
        <f t="shared" si="129"/>
        <v>2574.455111616548</v>
      </c>
      <c r="EQ88" s="212">
        <f t="shared" si="130"/>
        <v>351.09988693267042</v>
      </c>
      <c r="ET88" s="214">
        <f>IF(A88&lt;intermediates!$B$29,ET87+intermediates!$B$63,ET87+intermediates!$B$63*intermediates!$B$67)</f>
        <v>975.28776117164364</v>
      </c>
      <c r="EU88" s="215">
        <f t="shared" si="131"/>
        <v>975.28776117164364</v>
      </c>
      <c r="EV88" s="216">
        <f>data!EU88*conversions!$C$13</f>
        <v>1.1342596662426214</v>
      </c>
      <c r="EX88" s="212">
        <f>intermediates!$B$64+intermediates!$B$64*(EXP(-(data!A88-intermediates!$B$66)/intermediates!$B$65)-1)</f>
        <v>1.5377558425943922E-2</v>
      </c>
      <c r="EY88" s="217">
        <f>IF(A88&lt;intermediates!$B$29,data!EX88,data!EY87+(data!EX88-data!EX87)*intermediates!$B$68)</f>
        <v>1.5377558425943922E-2</v>
      </c>
      <c r="EZ88" s="217">
        <f t="shared" si="132"/>
        <v>1.5377558425943922E-2</v>
      </c>
      <c r="FB88" s="212">
        <f>intermediates!$B$94+intermediates!$B$95+(intermediates!$B$95*(EXP(-(data!A88-intermediates!$B$97)/intermediates!$B$96)-1))</f>
        <v>1.7082566703735118</v>
      </c>
      <c r="FC88" s="217">
        <f>IF(A88&lt;intermediates!$B$29,data!FB88,data!FC87+(data!FB88-data!FB87)*intermediates!$B$68)</f>
        <v>1.7082566703735118</v>
      </c>
      <c r="FD88" s="212">
        <f t="shared" si="133"/>
        <v>1.7082566703735118</v>
      </c>
      <c r="FF88" s="184">
        <f>intermediates!$B$98+intermediates!$B$99*EXP(-(A88-intermediates!$B$101)/intermediates!$B$100)</f>
        <v>0.87777717712811187</v>
      </c>
      <c r="FG88" s="184">
        <f t="shared" si="101"/>
        <v>0.87777717712811187</v>
      </c>
      <c r="FI88" s="184">
        <f>intermediates!$B$102+intermediates!$B$103*EXP(-(A88-intermediates!$B$105)/intermediates!$B$104)</f>
        <v>2.0671494377567483E-2</v>
      </c>
      <c r="FJ88" s="184">
        <f t="shared" si="134"/>
        <v>2.0671494377567483E-2</v>
      </c>
      <c r="FL88" s="184">
        <f>intermediates!$B$106</f>
        <v>4.5616870531049965E-2</v>
      </c>
      <c r="FM88" s="184">
        <f t="shared" si="135"/>
        <v>4.5616870531049965E-2</v>
      </c>
      <c r="FN88" s="218">
        <f>IF(A88&lt;intermediates!$B$29,0,IF(A88&lt;intermediates!$B$31,(data!A88-intermediates!$B$29)/(intermediates!$B$31-intermediates!$B$29),1))</f>
        <v>0.36666666666666664</v>
      </c>
      <c r="FO88" s="218">
        <f t="shared" si="176"/>
        <v>1124698741313758</v>
      </c>
      <c r="FP88" s="218">
        <f t="shared" si="177"/>
        <v>1281303240297859.5</v>
      </c>
      <c r="FQ88" s="218">
        <f t="shared" si="178"/>
        <v>19703315439031.598</v>
      </c>
      <c r="FR88" s="218">
        <f t="shared" si="179"/>
        <v>2188794807010013.3</v>
      </c>
      <c r="FS88" s="218">
        <f t="shared" si="180"/>
        <v>2244255382001.8677</v>
      </c>
      <c r="FT88" s="218">
        <f>intermediates!$B$69*data!EU88/intermediates!$B$71</f>
        <v>2.4824328895455743</v>
      </c>
      <c r="FU88" s="218">
        <f>BC88*conversions!$C$1*1000000</f>
        <v>8059298287006.4502</v>
      </c>
      <c r="FV88" s="218">
        <f t="shared" si="184"/>
        <v>3246532190637.2896</v>
      </c>
      <c r="FX88" s="221"/>
      <c r="FY88" s="221"/>
      <c r="FZ88" s="221"/>
      <c r="GA88" s="218">
        <f t="shared" si="102"/>
        <v>542.91083354923785</v>
      </c>
      <c r="GB88" s="218">
        <f>GA88*1000000*10000*intermediates!$B$71/(intermediates!$B$72*data!EU88)</f>
        <v>2733763900706.2002</v>
      </c>
      <c r="GC88" s="218">
        <f t="shared" si="181"/>
        <v>8455865550876.7021</v>
      </c>
      <c r="GD88" s="218">
        <f t="shared" si="144"/>
        <v>16680417024222.059</v>
      </c>
      <c r="GE88" s="218">
        <f t="shared" si="182"/>
        <v>17864634430296.613</v>
      </c>
      <c r="GF88" s="218">
        <f t="shared" si="183"/>
        <v>369288690183.17493</v>
      </c>
      <c r="GG88" s="218">
        <f t="shared" si="136"/>
        <v>814928715891.37817</v>
      </c>
      <c r="GH88" s="218">
        <f t="shared" si="103"/>
        <v>9609062367334.875</v>
      </c>
      <c r="GI88" s="218">
        <f t="shared" si="145"/>
        <v>1091058565543.6953</v>
      </c>
      <c r="GJ88" s="218">
        <f>ET88*intermediates!$B$73/intermediates!$B$71</f>
        <v>3.7236493343183619</v>
      </c>
      <c r="GK88" s="218">
        <f>CL88*conversions!$C$1*1000000/data!GJ88</f>
        <v>2461941350428.6855</v>
      </c>
      <c r="GL88" s="218">
        <f>MIN(1,FN88)*(intermediates!$B$75-data!$GL$69)+data!$GL$69</f>
        <v>0.39214905712607423</v>
      </c>
      <c r="GM88" s="218">
        <f>GL88*intermediates!$B$74*(FS88+GC88+GK88+GG88+GF88+GB88+FV88)</f>
        <v>1195657129051.9683</v>
      </c>
      <c r="GN88" s="218">
        <f>MIN(1,FN88)*intermediates!$B$76</f>
        <v>4.3999999999999997E-2</v>
      </c>
      <c r="GO88" s="218">
        <f t="shared" si="137"/>
        <v>946978248030.19958</v>
      </c>
      <c r="GP88" s="218">
        <f>IF(A88&gt;intermediates!$B$29,MIN(1,(A88-intermediates!$B$29)/(intermediates!$B$31-intermediates!$B$29))*intermediates!$B$77,0)</f>
        <v>5.4999999999999993E-2</v>
      </c>
      <c r="GQ88" s="218">
        <f>IF(AND(A88&gt;intermediates!$B$29+intermediates!$B$30,data!GP88&lt;intermediates!$B$77),1,0)</f>
        <v>0</v>
      </c>
      <c r="GR88" s="218">
        <f t="shared" si="104"/>
        <v>2651558290528.1245</v>
      </c>
      <c r="GS88" s="218">
        <f t="shared" si="105"/>
        <v>44824084887367.188</v>
      </c>
      <c r="GT88" s="218">
        <f t="shared" si="97"/>
        <v>87827362851875</v>
      </c>
      <c r="GU88" s="218">
        <f t="shared" si="106"/>
        <v>42268770405528.125</v>
      </c>
      <c r="GV88" s="218">
        <f t="shared" si="107"/>
        <v>21522232909777.266</v>
      </c>
      <c r="GW88" s="218">
        <f t="shared" si="108"/>
        <v>3386065849507.8125</v>
      </c>
      <c r="GX88" s="218">
        <f>MIN(intermediates!$B$88,FN88*intermediates!$B$87*GO88)</f>
        <v>173612678805.53659</v>
      </c>
      <c r="GY88" s="218">
        <f t="shared" si="109"/>
        <v>773365569224.66296</v>
      </c>
      <c r="GZ88" s="218">
        <f>MIN(intermediates!$B$88-GX88,intermediates!$B$87*data!GW88*FN88)</f>
        <v>620778739076.43225</v>
      </c>
      <c r="HA88" s="218">
        <f t="shared" si="138"/>
        <v>2765287110431.3804</v>
      </c>
      <c r="HB88" s="218">
        <f t="shared" si="139"/>
        <v>794391417881.96887</v>
      </c>
      <c r="HC88" s="218">
        <f t="shared" si="110"/>
        <v>23241968118687.641</v>
      </c>
      <c r="HD88" s="218">
        <f>HC88*intermediates!$B$79/(10000*1000000000)</f>
        <v>1542.6671432565233</v>
      </c>
      <c r="HE88" s="218">
        <f>(GV88*intermediates!$B$80+GV88*GL88*intermediates!$B$82)/(10000*1000000000)</f>
        <v>707.74275507204584</v>
      </c>
      <c r="HF88" s="218">
        <f>GU88*intermediates!$B$78/(10000*1000000000)</f>
        <v>4256.4378078462678</v>
      </c>
      <c r="HG88" s="218">
        <f>HB88*intermediates!$B$81/(10000*1000000000)</f>
        <v>199.68101448058553</v>
      </c>
      <c r="HH88" s="218">
        <f t="shared" si="111"/>
        <v>21.739412189545874</v>
      </c>
      <c r="HI88" s="218">
        <f t="shared" si="112"/>
        <v>23.571589106274757</v>
      </c>
      <c r="HJ88" s="218">
        <f t="shared" si="113"/>
        <v>-38.260347738942414</v>
      </c>
      <c r="HK88" s="218">
        <f ca="1">SUM(HJ88:INDIRECT(ADDRESS(MAX(CELL("row",HJ88)-intermediates!$B$83,69),CELL("col",HJ88))))/intermediates!$B$83+SUM(HH88:INDIRECT(ADDRESS(MAX(CELL("row",HH88)-intermediates!$B$84,69),CELL("col",HH88))))/intermediates!$B$84+SUM(HI88:INDIRECT(ADDRESS(MAX(CELL("row",HI88)-intermediates!$B$85,69),CELL("col",HI88))))/intermediates!$B$85</f>
        <v>-10.877730165590101</v>
      </c>
      <c r="HL88" s="218">
        <f t="shared" ca="1" si="163"/>
        <v>-62.579322536433381</v>
      </c>
      <c r="HM88" s="188">
        <f t="shared" si="114"/>
        <v>2032</v>
      </c>
      <c r="HQ88" s="185">
        <f t="shared" si="115"/>
        <v>1229.8178139973049</v>
      </c>
      <c r="HR88" s="185">
        <f t="shared" si="116"/>
        <v>369.91935774682685</v>
      </c>
      <c r="HS88" s="185">
        <f t="shared" si="117"/>
        <v>311.49304149736042</v>
      </c>
      <c r="HT88" s="185">
        <f t="shared" si="118"/>
        <v>280.52078639089729</v>
      </c>
      <c r="HU88" s="185">
        <f t="shared" si="119"/>
        <v>136.23666462937388</v>
      </c>
      <c r="HV88" s="185">
        <f t="shared" si="120"/>
        <v>107.90146677793521</v>
      </c>
      <c r="HW88" s="185">
        <f t="shared" si="121"/>
        <v>302.1262942314753</v>
      </c>
      <c r="HX88" s="185">
        <f t="shared" si="122"/>
        <v>124.31839887312842</v>
      </c>
      <c r="HY88" s="185">
        <f t="shared" si="123"/>
        <v>2245.0532952389908</v>
      </c>
      <c r="HZ88" s="185">
        <f t="shared" si="140"/>
        <v>2738.0154252711736</v>
      </c>
      <c r="IA88" s="185">
        <f t="shared" si="141"/>
        <v>5107.3871193832929</v>
      </c>
      <c r="IB88" s="185">
        <f t="shared" si="124"/>
        <v>2239.3867269616198</v>
      </c>
      <c r="IC88" s="185">
        <f t="shared" si="175"/>
        <v>5493.2053496631888</v>
      </c>
      <c r="ID88" s="185">
        <f t="shared" si="125"/>
        <v>4514.1008315164181</v>
      </c>
      <c r="IE88" s="184">
        <f t="shared" si="142"/>
        <v>-0.61035187897352894</v>
      </c>
      <c r="IF88" s="184">
        <f t="shared" si="143"/>
        <v>-8.5469564079340324E-2</v>
      </c>
    </row>
    <row r="89" spans="1:240" x14ac:dyDescent="0.3">
      <c r="A89" s="184">
        <v>2033</v>
      </c>
      <c r="E89" s="207">
        <v>8484096.0280000009</v>
      </c>
      <c r="F89" s="207">
        <v>8755083.5120000001</v>
      </c>
      <c r="G89" s="207">
        <v>9026062.341</v>
      </c>
      <c r="I89" s="207">
        <f t="shared" si="164"/>
        <v>8484096028.000001</v>
      </c>
      <c r="J89" s="207">
        <f t="shared" si="164"/>
        <v>8755083512</v>
      </c>
      <c r="K89" s="207">
        <f t="shared" si="164"/>
        <v>9026062341</v>
      </c>
      <c r="L89" s="187">
        <f>IF(intermediates!$B$4&gt;=2,(intermediates!$B$4-2)*K89+(1-(intermediates!$B$4-2))*J89,(intermediates!$B$4-1)*J89+(1-(intermediates!$B$4-1))*I89)</f>
        <v>8855145007.3327713</v>
      </c>
      <c r="AJ89" s="184">
        <f>IF(intermediates!$B$46=0,$AJ$74+(intermediates!$B$15-$AJ$74)*MIN(1,(data!A89-data!$A$74)/(intermediates!$B$32-data!$A$74)),IF(A89&lt;2021,$AJ$74+(intermediates!$B$15-$AJ$74)*MIN(1,(data!A89-data!$A$74)/(intermediates!$B$32-data!$A$74)),intermediates!$B$47+(intermediates!$B$15-intermediates!$B$47)*MIN(1,(data!A89-$A$77)/(intermediates!$B$32-$A$77))))</f>
        <v>22986.394649274265</v>
      </c>
      <c r="AK89" s="192">
        <f t="shared" si="146"/>
        <v>22986.394649274265</v>
      </c>
      <c r="AL89" s="192">
        <f t="shared" si="185"/>
        <v>203547857815101.75</v>
      </c>
      <c r="AM89" s="192">
        <f>data!AL89/(1000000*conversions!$C$1)</f>
        <v>17446.959241294437</v>
      </c>
      <c r="AN89" s="192">
        <f>IF(intermediates!$B$13=1,($AJ$74+(27400-$AJ$74)*MIN(1,(data!A89-data!$A$74)/(intermediates!$B$32-data!$A$74)))*L89/(1000000*conversions!$C$1),data!AM89)</f>
        <v>17446.959241294437</v>
      </c>
      <c r="AV89" s="214">
        <f>IF(A89&lt;intermediates!$B$29,0,IF(A89&lt;intermediates!$B$31,(data!A89-intermediates!$B$29)*intermediates!$B$26/(intermediates!$B$31-intermediates!$B$29),intermediates!$B$26))</f>
        <v>4</v>
      </c>
      <c r="AW89" s="212">
        <f>MIN(AW88+intermediates!$B$16,intermediates!$B$17*data!$AW$74)</f>
        <v>1302.7988110420554</v>
      </c>
      <c r="AX89" s="212">
        <f>AV89*1000/conversions!$C$16/intermediates!$B$40</f>
        <v>3274.8233987225126</v>
      </c>
      <c r="AY89" s="212">
        <f>AX89*(1-intermediates!$B$39)*intermediates!$B$28/(conversions!$C$2)</f>
        <v>857.21201491835438</v>
      </c>
      <c r="AZ89" s="213">
        <f>IF(A89&lt;intermediates!$B$29,0,MIN(intermediates!$B$25,intermediates!$B$25*(A89-intermediates!$B$29)/(intermediates!$B$31-intermediates!$B$29)))</f>
        <v>0</v>
      </c>
      <c r="BA89" s="212">
        <f>IF(A89&lt;intermediates!$B$29,data!$BA$74,IF(intermediates!$B$23&gt;data!$BA$74,MIN(intermediates!$B$23,data!$BA$74+(intermediates!$B$23-data!$BA$74)*((data!A89-intermediates!$B$29)/(intermediates!$B$31-intermediates!$B$29))),MAX(intermediates!$B$23,data!$BA$74+(intermediates!$B$23-data!$BA$74)*((data!A89-intermediates!$B$29)/(intermediates!$B$31-intermediates!$B$29)))))</f>
        <v>4.2255057419427339E-2</v>
      </c>
      <c r="BB89" s="212">
        <f t="shared" si="147"/>
        <v>737.22226453530482</v>
      </c>
      <c r="BC89" s="212">
        <f t="shared" si="166"/>
        <v>737.22226453530482</v>
      </c>
      <c r="BD89" s="212">
        <f t="shared" si="167"/>
        <v>0</v>
      </c>
      <c r="BE89" s="214">
        <f>MAX(0,MIN(1,(data!A89-intermediates!$B$29)/(intermediates!$B$31-intermediates!$B$29)))*((intermediates!$B$38*L89)-$BE$69*1000000000)/1000000000+$BE$69</f>
        <v>576.01659696059278</v>
      </c>
      <c r="BF89" s="214">
        <f t="shared" si="99"/>
        <v>576.01659696059278</v>
      </c>
      <c r="BG89" s="214">
        <f t="shared" si="168"/>
        <v>0</v>
      </c>
      <c r="BH89" s="214">
        <f>BD89*conversions!$C$2/conversions!$C$17+BG89*conversions!$C$6/conversions!$C$10</f>
        <v>0</v>
      </c>
      <c r="BI89" s="214">
        <f>BH89*intermediates!$B$41*conversions!$C$11/(conversions!$C$2*conversions!$C$6*intermediates!$B$42)</f>
        <v>0</v>
      </c>
      <c r="BJ89" s="214">
        <f>BH89*intermediates!$B$43/(conversions!$C$1*intermediates!$B$42)</f>
        <v>0</v>
      </c>
      <c r="BK89" s="214">
        <f t="shared" si="148"/>
        <v>0</v>
      </c>
      <c r="BL89" s="214">
        <f t="shared" si="149"/>
        <v>17446.959241294437</v>
      </c>
      <c r="BM89" s="214">
        <f t="shared" si="150"/>
        <v>14549.726150798722</v>
      </c>
      <c r="BN89" s="214">
        <f>IF(A89&lt;intermediates!$B$29,MIN(BO88+intermediates!$B$33*AN88),MIN(BO88*intermediates!$B$35,BO88+intermediates!$B$37*AN88))</f>
        <v>4826.5726497793512</v>
      </c>
      <c r="BO89" s="212">
        <f>IF(A89&lt;intermediates!$B$29,MIN(BM89,BO88+intermediates!$B$33*AN88),MIN(BM89,BO88*intermediates!$B$35,BO88+intermediates!$B$37*AN88))</f>
        <v>4826.5726497793512</v>
      </c>
      <c r="BP89" s="214">
        <f t="shared" si="151"/>
        <v>0</v>
      </c>
      <c r="BQ89" s="214">
        <f t="shared" si="152"/>
        <v>9723.1535010193693</v>
      </c>
      <c r="BR89" s="212" t="str">
        <f t="shared" si="186"/>
        <v/>
      </c>
      <c r="BS89" s="212">
        <f>BP89*conversions!$C$1*intermediates!$B$42/intermediates!$B$43</f>
        <v>0</v>
      </c>
      <c r="BT89" s="214">
        <f>MIN(BT88+BS89,intermediates!$B$27*1000)</f>
        <v>0</v>
      </c>
      <c r="BU89" s="219" t="str">
        <f>IF(AND(BT89=intermediates!$B$27*1000,BT88&lt;&gt;intermediates!$B$27*1000),A89,"")</f>
        <v/>
      </c>
      <c r="BV89" s="212">
        <f>BT89*intermediates!$B$43/(conversions!$C$1*intermediates!$B$42)</f>
        <v>0</v>
      </c>
      <c r="BW89" s="214">
        <f t="shared" si="153"/>
        <v>17446.959241294437</v>
      </c>
      <c r="BX89" s="214">
        <f t="shared" si="154"/>
        <v>4826.5726497793512</v>
      </c>
      <c r="BY89" s="227">
        <f>IF(OR(BQ89&gt;0,BT89&lt;&gt;intermediates!$B$27*1000),MAX(0,(BX89-BX88)/AM88),0.000000000001)</f>
        <v>2.9986327406272426E-2</v>
      </c>
      <c r="BZ89" s="322">
        <f>BH89*intermediates!$B$49*1000000</f>
        <v>0</v>
      </c>
      <c r="CA89" s="322">
        <f>BI89*conversions!$C$1*1000000*intermediates!$B$50</f>
        <v>0</v>
      </c>
      <c r="CB89" s="322">
        <f>BT89*1000000*intermediates!$B$49</f>
        <v>0</v>
      </c>
      <c r="CC89" s="214">
        <f>BW89*conversions!$C$1*1000000/L89</f>
        <v>22986.394649274265</v>
      </c>
      <c r="CD89" s="173">
        <f t="shared" si="100"/>
        <v>2033</v>
      </c>
      <c r="CE89" s="173"/>
      <c r="CF89" s="173"/>
      <c r="CG89" s="173"/>
      <c r="CH89" s="173"/>
      <c r="CI89" s="173">
        <f t="shared" si="155"/>
        <v>9723.1535010193693</v>
      </c>
      <c r="CJ89" s="173">
        <f t="shared" si="156"/>
        <v>1302.7988110420554</v>
      </c>
      <c r="CK89" s="173">
        <f t="shared" si="157"/>
        <v>737.22226453530482</v>
      </c>
      <c r="CL89" s="173">
        <f t="shared" si="158"/>
        <v>857.21201491835438</v>
      </c>
      <c r="CM89" s="173"/>
      <c r="CN89" s="173"/>
      <c r="CO89" s="329">
        <f t="shared" si="169"/>
        <v>4826.5726497793512</v>
      </c>
      <c r="CP89" s="174">
        <f t="shared" si="159"/>
        <v>33.432603282692405</v>
      </c>
      <c r="CQ89" s="228">
        <f t="shared" si="160"/>
        <v>4</v>
      </c>
      <c r="CR89" s="228">
        <f t="shared" si="170"/>
        <v>26</v>
      </c>
      <c r="CS89" s="214">
        <f t="shared" ca="1" si="161"/>
        <v>41.282231288816597</v>
      </c>
      <c r="CT89" s="190">
        <f t="shared" ca="1" si="162"/>
        <v>4.6619486473266774</v>
      </c>
      <c r="CU89" s="190">
        <f t="shared" ca="1" si="187"/>
        <v>41.282231288816597</v>
      </c>
      <c r="CV89" s="198">
        <f t="shared" si="174"/>
        <v>2877.5505540985291</v>
      </c>
      <c r="CW89" s="198">
        <f t="shared" ca="1" si="171"/>
        <v>2953.5585073239758</v>
      </c>
      <c r="CX89" s="198">
        <f t="shared" ca="1" si="172"/>
        <v>2925.9795046410877</v>
      </c>
      <c r="CY89" s="198">
        <f t="shared" ca="1" si="173"/>
        <v>-27.579002682889826</v>
      </c>
      <c r="CZ89" s="199">
        <f ca="1">IF(CX89&lt;intermediates!$B$55,intermediates!$B$56+(CX89-intermediates!$B$55)*intermediates!$B$53,intermediates!$B$56+(data!CX89-intermediates!$B$55)*intermediates!$B$58)</f>
        <v>1.5602385261975817</v>
      </c>
      <c r="DG89" s="201">
        <f>IF(A89&gt;MAX(intermediates!B$31,intermediates!$B$32),DG88,DG88+intermediates!$B$60*DG$73)</f>
        <v>16788262590000</v>
      </c>
      <c r="DH89" s="201">
        <f>IF(A89&gt;MAX(intermediates!B$31,intermediates!$B$32),DH88,DH88+intermediates!$B$61*DH$73)</f>
        <v>31417391805000</v>
      </c>
      <c r="DI89" s="201">
        <f>IF(A89&gt;MAX(intermediates!B$31,intermediates!$B$32),DI88,DI88+intermediates!$B$62*DI$73)</f>
        <v>39592270508000</v>
      </c>
      <c r="DJ89" s="221"/>
      <c r="EE89" s="218"/>
      <c r="EF89" s="212">
        <f>$EF$69+intermediates!$B$90*(A89-2013)*intermediates!$B$92+intermediates!$B$91*intermediates!$B$92*(A89-2013)^2</f>
        <v>2931.9388885492185</v>
      </c>
      <c r="EH89" s="212">
        <f>IF(A89&lt;intermediates!$B$29,data!EH88,IF(A89&lt;intermediates!$B$31,data!$EH$69+(intermediates!$B$93-data!$EH$69)*(data!A89-intermediates!$B$29)/(intermediates!$B$31-intermediates!$B$29),intermediates!$B$93))</f>
        <v>0.11502246991181733</v>
      </c>
      <c r="EI89" s="212">
        <f t="shared" si="128"/>
        <v>0.11502246991181733</v>
      </c>
      <c r="EN89" s="218"/>
      <c r="EO89" s="212">
        <f t="shared" si="129"/>
        <v>2594.7000359577792</v>
      </c>
      <c r="EQ89" s="212">
        <f t="shared" si="130"/>
        <v>337.23885259143935</v>
      </c>
      <c r="ET89" s="214">
        <f>IF(A89&lt;intermediates!$B$29,ET88+intermediates!$B$63,ET88+intermediates!$B$63*intermediates!$B$67)</f>
        <v>985.26335056308642</v>
      </c>
      <c r="EU89" s="215">
        <f t="shared" si="131"/>
        <v>985.26335056308642</v>
      </c>
      <c r="EV89" s="216">
        <f>data!EU89*conversions!$C$13</f>
        <v>1.1458612767048695</v>
      </c>
      <c r="EX89" s="212">
        <f>intermediates!$B$64+intermediates!$B$64*(EXP(-(data!A89-intermediates!$B$66)/intermediates!$B$65)-1)</f>
        <v>1.5091682133639442E-2</v>
      </c>
      <c r="EY89" s="217">
        <f>IF(A89&lt;intermediates!$B$29,data!EX89,data!EY88+(data!EX89-data!EX88)*intermediates!$B$68)</f>
        <v>1.5091682133639442E-2</v>
      </c>
      <c r="EZ89" s="217">
        <f t="shared" si="132"/>
        <v>1.5091682133639442E-2</v>
      </c>
      <c r="FB89" s="212">
        <f>intermediates!$B$94+intermediates!$B$95+(intermediates!$B$95*(EXP(-(data!A89-intermediates!$B$97)/intermediates!$B$96)-1))</f>
        <v>1.7025774154864568</v>
      </c>
      <c r="FC89" s="217">
        <f>IF(A89&lt;intermediates!$B$29,data!FB89,data!FC88+(data!FB89-data!FB88)*intermediates!$B$68)</f>
        <v>1.7025774154864568</v>
      </c>
      <c r="FD89" s="212">
        <f t="shared" si="133"/>
        <v>1.7025774154864568</v>
      </c>
      <c r="FF89" s="184">
        <f>intermediates!$B$98+intermediates!$B$99*EXP(-(A89-intermediates!$B$101)/intermediates!$B$100)</f>
        <v>0.8784822366732471</v>
      </c>
      <c r="FG89" s="184">
        <f t="shared" si="101"/>
        <v>0.8784822366732471</v>
      </c>
      <c r="FI89" s="184">
        <f>intermediates!$B$102+intermediates!$B$103*EXP(-(A89-intermediates!$B$105)/intermediates!$B$104)</f>
        <v>2.0459923025014572E-2</v>
      </c>
      <c r="FJ89" s="184">
        <f t="shared" si="134"/>
        <v>2.0459923025014572E-2</v>
      </c>
      <c r="FL89" s="184">
        <f>intermediates!$B$106</f>
        <v>4.5616870531049965E-2</v>
      </c>
      <c r="FM89" s="184">
        <f t="shared" si="135"/>
        <v>4.5616870531049965E-2</v>
      </c>
      <c r="FN89" s="218">
        <f>IF(A89&lt;intermediates!$B$29,0,IF(A89&lt;intermediates!$B$31,(data!A89-intermediates!$B$29)/(intermediates!$B$31-intermediates!$B$29),1))</f>
        <v>0.4</v>
      </c>
      <c r="FO89" s="218">
        <f t="shared" si="176"/>
        <v>1089999113758356.6</v>
      </c>
      <c r="FP89" s="218">
        <f t="shared" si="177"/>
        <v>1240775360337517.8</v>
      </c>
      <c r="FQ89" s="218">
        <f t="shared" si="178"/>
        <v>18725387337465.758</v>
      </c>
      <c r="FR89" s="218">
        <f t="shared" si="179"/>
        <v>2112516106202728</v>
      </c>
      <c r="FS89" s="218">
        <f t="shared" si="180"/>
        <v>2144113150048.0627</v>
      </c>
      <c r="FT89" s="218">
        <f>intermediates!$B$69*data!EU89/intermediates!$B$71</f>
        <v>2.5078240942584995</v>
      </c>
      <c r="FU89" s="218">
        <f>BC89*conversions!$C$1*1000000</f>
        <v>8600926419578.5557</v>
      </c>
      <c r="FV89" s="218">
        <f t="shared" si="184"/>
        <v>3429637046421.9634</v>
      </c>
      <c r="FX89" s="221"/>
      <c r="FY89" s="221"/>
      <c r="FZ89" s="221"/>
      <c r="GA89" s="218">
        <f t="shared" si="102"/>
        <v>576.01659696059278</v>
      </c>
      <c r="GB89" s="218">
        <f>GA89*1000000*10000*intermediates!$B$71/(intermediates!$B$72*data!EU89)</f>
        <v>2871097489848.5967</v>
      </c>
      <c r="GC89" s="218">
        <f t="shared" si="181"/>
        <v>8511838429156.3838</v>
      </c>
      <c r="GD89" s="218">
        <f t="shared" si="144"/>
        <v>16956686115475.008</v>
      </c>
      <c r="GE89" s="218">
        <f t="shared" si="182"/>
        <v>18156403008808.773</v>
      </c>
      <c r="GF89" s="218">
        <f t="shared" si="183"/>
        <v>371478607971.37048</v>
      </c>
      <c r="GG89" s="218">
        <f t="shared" si="136"/>
        <v>828238285362.39587</v>
      </c>
      <c r="GH89" s="218">
        <f t="shared" si="103"/>
        <v>9618140732124.8379</v>
      </c>
      <c r="GI89" s="218">
        <f t="shared" si="145"/>
        <v>1037810847079.6094</v>
      </c>
      <c r="GJ89" s="218">
        <f>ET89*intermediates!$B$73/intermediates!$B$71</f>
        <v>3.761736141387749</v>
      </c>
      <c r="GK89" s="218">
        <f>CL89*conversions!$C$1*1000000/data!GJ89</f>
        <v>2658561489914.792</v>
      </c>
      <c r="GL89" s="218">
        <f>MIN(1,FN89)*(intermediates!$B$75-data!$GL$69)+data!$GL$69</f>
        <v>0.42414121201417565</v>
      </c>
      <c r="GM89" s="218">
        <f>GL89*intermediates!$B$74*(FS89+GC89+GK89+GG89+GF89+GB89+FV89)</f>
        <v>1324272640578.0979</v>
      </c>
      <c r="GN89" s="218">
        <f>MIN(1,FN89)*intermediates!$B$76</f>
        <v>4.8000000000000001E-2</v>
      </c>
      <c r="GO89" s="218">
        <f t="shared" si="137"/>
        <v>1062683382686.4799</v>
      </c>
      <c r="GP89" s="218">
        <f>IF(A89&gt;intermediates!$B$29,MIN(1,(A89-intermediates!$B$29)/(intermediates!$B$31-intermediates!$B$29))*intermediates!$B$77,0)</f>
        <v>0.06</v>
      </c>
      <c r="GQ89" s="218">
        <f>IF(AND(A89&gt;intermediates!$B$29+intermediates!$B$30,data!GP89&lt;intermediates!$B$77),1,0)</f>
        <v>0</v>
      </c>
      <c r="GR89" s="218">
        <f t="shared" si="104"/>
        <v>2892339263700</v>
      </c>
      <c r="GS89" s="218">
        <f t="shared" si="105"/>
        <v>44819647123153.898</v>
      </c>
      <c r="GT89" s="218">
        <f t="shared" si="97"/>
        <v>87797924903000</v>
      </c>
      <c r="GU89" s="218">
        <f t="shared" si="106"/>
        <v>42484609771700</v>
      </c>
      <c r="GV89" s="218">
        <f t="shared" si="107"/>
        <v>22139237139301.664</v>
      </c>
      <c r="GW89" s="218">
        <f t="shared" si="108"/>
        <v>3386007271846.1016</v>
      </c>
      <c r="GX89" s="218">
        <f>MIN(intermediates!$B$88,FN89*intermediates!$B$87*GO89)</f>
        <v>212536676537.29599</v>
      </c>
      <c r="GY89" s="218">
        <f t="shared" si="109"/>
        <v>850146706149.18384</v>
      </c>
      <c r="GZ89" s="218">
        <f>MIN(intermediates!$B$88-GX89,intermediates!$B$87*data!GW89*FN89)</f>
        <v>677201454369.22034</v>
      </c>
      <c r="HA89" s="218">
        <f t="shared" si="138"/>
        <v>2708805817476.8813</v>
      </c>
      <c r="HB89" s="218">
        <f t="shared" si="139"/>
        <v>889738130906.51636</v>
      </c>
      <c r="HC89" s="218">
        <f t="shared" si="110"/>
        <v>22284339861091.824</v>
      </c>
      <c r="HD89" s="218">
        <f>HC89*intermediates!$B$79/(10000*1000000000)</f>
        <v>1479.1053295192762</v>
      </c>
      <c r="HE89" s="218">
        <f>(GV89*intermediates!$B$80+GV89*GL89*intermediates!$B$82)/(10000*1000000000)</f>
        <v>733.15816255977688</v>
      </c>
      <c r="HF89" s="218">
        <f>GU89*intermediates!$B$78/(10000*1000000000)</f>
        <v>4278.1726922486632</v>
      </c>
      <c r="HG89" s="218">
        <f>HB89*intermediates!$B$81/(10000*1000000000)</f>
        <v>223.64769885753046</v>
      </c>
      <c r="HH89" s="218">
        <f t="shared" si="111"/>
        <v>21.734884402395437</v>
      </c>
      <c r="HI89" s="218">
        <f t="shared" si="112"/>
        <v>23.966684376944926</v>
      </c>
      <c r="HJ89" s="218">
        <f t="shared" si="113"/>
        <v>-38.146406249516076</v>
      </c>
      <c r="HK89" s="218">
        <f ca="1">SUM(HJ89:INDIRECT(ADDRESS(MAX(CELL("row",HJ89)-intermediates!$B$83,69),CELL("col",HJ89))))/intermediates!$B$83+SUM(HH89:INDIRECT(ADDRESS(MAX(CELL("row",HH89)-intermediates!$B$84,69),CELL("col",HH89))))/intermediates!$B$84+SUM(HI89:INDIRECT(ADDRESS(MAX(CELL("row",HI89)-intermediates!$B$85,69),CELL("col",HI89))))/intermediates!$B$85</f>
        <v>-11.849628006124192</v>
      </c>
      <c r="HL89" s="218">
        <f t="shared" ca="1" si="163"/>
        <v>-74.428950542557573</v>
      </c>
      <c r="HM89" s="188">
        <f t="shared" si="114"/>
        <v>2033</v>
      </c>
      <c r="HQ89" s="185">
        <f t="shared" si="115"/>
        <v>1221.6465813378043</v>
      </c>
      <c r="HR89" s="185">
        <f t="shared" si="116"/>
        <v>387.30444770604527</v>
      </c>
      <c r="HS89" s="185">
        <f t="shared" si="117"/>
        <v>324.22930256603337</v>
      </c>
      <c r="HT89" s="185">
        <f t="shared" si="118"/>
        <v>300.22788872607839</v>
      </c>
      <c r="HU89" s="185">
        <f t="shared" si="119"/>
        <v>149.54838565393268</v>
      </c>
      <c r="HV89" s="185">
        <f t="shared" si="120"/>
        <v>120.0074512395328</v>
      </c>
      <c r="HW89" s="185">
        <f t="shared" si="121"/>
        <v>326.62810843920801</v>
      </c>
      <c r="HX89" s="185">
        <f t="shared" si="122"/>
        <v>117.19862816703946</v>
      </c>
      <c r="HY89" s="185">
        <f t="shared" si="123"/>
        <v>2114.6336194336322</v>
      </c>
      <c r="HZ89" s="185">
        <f t="shared" si="140"/>
        <v>2829.5921656686346</v>
      </c>
      <c r="IA89" s="185">
        <f t="shared" si="141"/>
        <v>5061.4244132693057</v>
      </c>
      <c r="IB89" s="185">
        <f t="shared" si="124"/>
        <v>2249.2247126882571</v>
      </c>
      <c r="IC89" s="185">
        <f t="shared" si="175"/>
        <v>5443.8018073201338</v>
      </c>
      <c r="ID89" s="185">
        <f t="shared" si="125"/>
        <v>4471.1035759679171</v>
      </c>
      <c r="IE89" s="184">
        <f t="shared" si="142"/>
        <v>-0.58469002053605246</v>
      </c>
      <c r="IF89" s="184">
        <f t="shared" si="143"/>
        <v>-8.5521927093368658E-2</v>
      </c>
    </row>
    <row r="90" spans="1:240" x14ac:dyDescent="0.3">
      <c r="A90" s="211">
        <v>2034</v>
      </c>
      <c r="E90" s="207">
        <v>8520771.62900001</v>
      </c>
      <c r="F90" s="207">
        <v>8821862.7050000001</v>
      </c>
      <c r="G90" s="207">
        <v>9122948.0570000093</v>
      </c>
      <c r="I90" s="207">
        <f t="shared" si="164"/>
        <v>8520771629.0000095</v>
      </c>
      <c r="J90" s="207">
        <f t="shared" si="164"/>
        <v>8821862705</v>
      </c>
      <c r="K90" s="207">
        <f t="shared" si="164"/>
        <v>9122948057.0000095</v>
      </c>
      <c r="L90" s="187">
        <f>IF(intermediates!$B$4&gt;=2,(intermediates!$B$4-2)*K90+(1-(intermediates!$B$4-2))*J90,(intermediates!$B$4-1)*J90+(1-(intermediates!$B$4-1))*I90)</f>
        <v>8933041318.6765499</v>
      </c>
      <c r="AJ90" s="184">
        <f>IF(intermediates!$B$46=0,$AJ$74+(intermediates!$B$15-$AJ$74)*MIN(1,(data!A90-data!$A$74)/(intermediates!$B$32-data!$A$74)),IF(A90&lt;2021,$AJ$74+(intermediates!$B$15-$AJ$74)*MIN(1,(data!A90-data!$A$74)/(intermediates!$B$32-data!$A$74)),intermediates!$B$47+(intermediates!$B$15-intermediates!$B$47)*MIN(1,(data!A90-$A$77)/(intermediates!$B$32-$A$77))))</f>
        <v>23105.681280374964</v>
      </c>
      <c r="AK90" s="192">
        <f t="shared" si="146"/>
        <v>23105.681280374964</v>
      </c>
      <c r="AL90" s="192">
        <f t="shared" si="185"/>
        <v>206404005573760.84</v>
      </c>
      <c r="AM90" s="192">
        <f>data!AL90/(1000000*conversions!$C$1)</f>
        <v>17691.771906322359</v>
      </c>
      <c r="AN90" s="192">
        <f>IF(intermediates!$B$13=1,($AJ$74+(27400-$AJ$74)*MIN(1,(data!A90-data!$A$74)/(intermediates!$B$32-data!$A$74)))*L90/(1000000*conversions!$C$1),data!AM90)</f>
        <v>17691.771906322359</v>
      </c>
      <c r="AV90" s="214">
        <f>IF(A90&lt;intermediates!$B$29,0,IF(A90&lt;intermediates!$B$31,(data!A90-intermediates!$B$29)*intermediates!$B$26/(intermediates!$B$31-intermediates!$B$29),intermediates!$B$26))</f>
        <v>4.333333333333333</v>
      </c>
      <c r="AW90" s="212">
        <f>MIN(AW89+intermediates!$B$16,intermediates!$B$17*data!$AW$74)</f>
        <v>1326.3990722292647</v>
      </c>
      <c r="AX90" s="212">
        <f>AV90*1000/conversions!$C$16/intermediates!$B$40</f>
        <v>3547.7253486160553</v>
      </c>
      <c r="AY90" s="212">
        <f>AX90*(1-intermediates!$B$39)*intermediates!$B$28/(conversions!$C$2)</f>
        <v>928.64634949488413</v>
      </c>
      <c r="AZ90" s="213">
        <f>IF(A90&lt;intermediates!$B$29,0,MIN(intermediates!$B$25,intermediates!$B$25*(A90-intermediates!$B$29)/(intermediates!$B$31-intermediates!$B$29)))</f>
        <v>0</v>
      </c>
      <c r="BA90" s="212">
        <f>IF(A90&lt;intermediates!$B$29,data!$BA$74,IF(intermediates!$B$23&gt;data!$BA$74,MIN(intermediates!$B$23,data!$BA$74+(intermediates!$B$23-data!$BA$74)*((data!A90-intermediates!$B$29)/(intermediates!$B$31-intermediates!$B$29))),MAX(intermediates!$B$23,data!$BA$74+(intermediates!$B$23-data!$BA$74)*((data!A90-intermediates!$B$29)/(intermediates!$B$31-intermediates!$B$29)))))</f>
        <v>4.4351998673903596E-2</v>
      </c>
      <c r="BB90" s="212">
        <f t="shared" si="147"/>
        <v>784.66544412821418</v>
      </c>
      <c r="BC90" s="212">
        <f t="shared" si="166"/>
        <v>784.66544412821418</v>
      </c>
      <c r="BD90" s="212">
        <f t="shared" si="167"/>
        <v>0</v>
      </c>
      <c r="BE90" s="214">
        <f>MAX(0,MIN(1,(data!A90-intermediates!$B$29)/(intermediates!$B$31-intermediates!$B$29)))*((intermediates!$B$38*L90)-$BE$69*1000000000)/1000000000+$BE$69</f>
        <v>609.72912098926986</v>
      </c>
      <c r="BF90" s="214">
        <f t="shared" si="99"/>
        <v>609.72912098926986</v>
      </c>
      <c r="BG90" s="214">
        <f t="shared" si="168"/>
        <v>0</v>
      </c>
      <c r="BH90" s="214">
        <f>BD90*conversions!$C$2/conversions!$C$17+BG90*conversions!$C$6/conversions!$C$10</f>
        <v>0</v>
      </c>
      <c r="BI90" s="214">
        <f>BH90*intermediates!$B$41*conversions!$C$11/(conversions!$C$2*conversions!$C$6*intermediates!$B$42)</f>
        <v>0</v>
      </c>
      <c r="BJ90" s="214">
        <f>BH90*intermediates!$B$43/(conversions!$C$1*intermediates!$B$42)</f>
        <v>0</v>
      </c>
      <c r="BK90" s="214">
        <f t="shared" si="148"/>
        <v>0</v>
      </c>
      <c r="BL90" s="214">
        <f t="shared" si="149"/>
        <v>17691.771906322359</v>
      </c>
      <c r="BM90" s="214">
        <f t="shared" si="150"/>
        <v>14652.061040469996</v>
      </c>
      <c r="BN90" s="214">
        <f>IF(A90&lt;intermediates!$B$29,MIN(BO89+intermediates!$B$33*AN89),MIN(BO89*intermediates!$B$35,BO89+intermediates!$B$37*AN89))</f>
        <v>5349.7428818326962</v>
      </c>
      <c r="BO90" s="212">
        <f>IF(A90&lt;intermediates!$B$29,MIN(BM90,BO89+intermediates!$B$33*AN89),MIN(BM90,BO89*intermediates!$B$35,BO89+intermediates!$B$37*AN89))</f>
        <v>5349.7428818326962</v>
      </c>
      <c r="BP90" s="214">
        <f t="shared" si="151"/>
        <v>0</v>
      </c>
      <c r="BQ90" s="214">
        <f t="shared" si="152"/>
        <v>9302.3181586373012</v>
      </c>
      <c r="BR90" s="212" t="str">
        <f t="shared" si="186"/>
        <v/>
      </c>
      <c r="BS90" s="212">
        <f>BP90*conversions!$C$1*intermediates!$B$42/intermediates!$B$43</f>
        <v>0</v>
      </c>
      <c r="BT90" s="214">
        <f>MIN(BT89+BS90,intermediates!$B$27*1000)</f>
        <v>0</v>
      </c>
      <c r="BU90" s="219" t="str">
        <f>IF(AND(BT90=intermediates!$B$27*1000,BT89&lt;&gt;intermediates!$B$27*1000),A90,"")</f>
        <v/>
      </c>
      <c r="BV90" s="212">
        <f>BT90*intermediates!$B$43/(conversions!$C$1*intermediates!$B$42)</f>
        <v>0</v>
      </c>
      <c r="BW90" s="214">
        <f t="shared" si="153"/>
        <v>17691.771906322359</v>
      </c>
      <c r="BX90" s="214">
        <f t="shared" si="154"/>
        <v>5349.7428818326962</v>
      </c>
      <c r="BY90" s="227">
        <f>IF(OR(BQ90&gt;0,BT90&lt;&gt;intermediates!$B$27*1000),MAX(0,(BX90-BX89)/AM89),0.000000000001)</f>
        <v>2.9986327406272405E-2</v>
      </c>
      <c r="BZ90" s="322">
        <f>BH90*intermediates!$B$49*1000000</f>
        <v>0</v>
      </c>
      <c r="CA90" s="322">
        <f>BI90*conversions!$C$1*1000000*intermediates!$B$50</f>
        <v>0</v>
      </c>
      <c r="CB90" s="322">
        <f>BT90*1000000*intermediates!$B$49</f>
        <v>0</v>
      </c>
      <c r="CC90" s="214">
        <f>BW90*conversions!$C$1*1000000/L90</f>
        <v>23105.681280374964</v>
      </c>
      <c r="CD90" s="173">
        <f t="shared" si="100"/>
        <v>2034</v>
      </c>
      <c r="CE90" s="173"/>
      <c r="CF90" s="173"/>
      <c r="CG90" s="173"/>
      <c r="CH90" s="173"/>
      <c r="CI90" s="173">
        <f t="shared" si="155"/>
        <v>9302.3181586373012</v>
      </c>
      <c r="CJ90" s="173">
        <f t="shared" si="156"/>
        <v>1326.3990722292647</v>
      </c>
      <c r="CK90" s="173">
        <f t="shared" si="157"/>
        <v>784.66544412821418</v>
      </c>
      <c r="CL90" s="173">
        <f t="shared" si="158"/>
        <v>928.64634949488413</v>
      </c>
      <c r="CM90" s="173"/>
      <c r="CN90" s="173"/>
      <c r="CO90" s="329">
        <f t="shared" si="169"/>
        <v>5349.7428818326962</v>
      </c>
      <c r="CP90" s="174">
        <f t="shared" si="159"/>
        <v>31.985580868850985</v>
      </c>
      <c r="CQ90" s="228">
        <f t="shared" si="160"/>
        <v>4.333333333333333</v>
      </c>
      <c r="CR90" s="228">
        <f t="shared" si="170"/>
        <v>30.333333333333332</v>
      </c>
      <c r="CS90" s="214">
        <f t="shared" ca="1" si="161"/>
        <v>40.463954515177598</v>
      </c>
      <c r="CT90" s="190">
        <f t="shared" ca="1" si="162"/>
        <v>4.5296952148400473</v>
      </c>
      <c r="CU90" s="190">
        <f t="shared" ca="1" si="187"/>
        <v>40.463954515177598</v>
      </c>
      <c r="CV90" s="198">
        <f t="shared" si="174"/>
        <v>2909.5361349673799</v>
      </c>
      <c r="CW90" s="198">
        <f t="shared" ca="1" si="171"/>
        <v>2998.3557951724865</v>
      </c>
      <c r="CX90" s="198">
        <f t="shared" ca="1" si="172"/>
        <v>2966.4434591562654</v>
      </c>
      <c r="CY90" s="198">
        <f t="shared" ca="1" si="173"/>
        <v>-31.912336016223158</v>
      </c>
      <c r="CZ90" s="199">
        <f ca="1">IF(CX90&lt;intermediates!$B$55,intermediates!$B$56+(CX90-intermediates!$B$55)*intermediates!$B$53,intermediates!$B$56+(data!CX90-intermediates!$B$55)*intermediates!$B$58)</f>
        <v>1.5822428124309453</v>
      </c>
      <c r="DG90" s="201">
        <f>IF(A90&gt;MAX(intermediates!B$31,intermediates!$B$32),DG89,DG89+intermediates!$B$60*DG$73)</f>
        <v>16861693531250</v>
      </c>
      <c r="DH90" s="201">
        <f>IF(A90&gt;MAX(intermediates!B$31,intermediates!$B$32),DH89,DH89+intermediates!$B$61*DH$73)</f>
        <v>31339464521875</v>
      </c>
      <c r="DI90" s="201">
        <f>IF(A90&gt;MAX(intermediates!B$31,intermediates!$B$32),DI89,DI89+intermediates!$B$62*DI$73)</f>
        <v>39567328901000</v>
      </c>
      <c r="DJ90" s="221"/>
      <c r="EE90" s="218"/>
      <c r="EF90" s="212">
        <f>$EF$69+intermediates!$B$90*(A90-2013)*intermediates!$B$92+intermediates!$B$91*intermediates!$B$92*(A90-2013)^2</f>
        <v>2938.241378549219</v>
      </c>
      <c r="EH90" s="212">
        <f>IF(A90&lt;intermediates!$B$29,data!EH89,IF(A90&lt;intermediates!$B$31,data!$EH$69+(intermediates!$B$93-data!$EH$69)*(data!A90-intermediates!$B$29)/(intermediates!$B$31-intermediates!$B$29),intermediates!$B$93))</f>
        <v>0.11003356177509997</v>
      </c>
      <c r="EI90" s="212">
        <f t="shared" si="128"/>
        <v>0.11003356177509997</v>
      </c>
      <c r="EN90" s="218"/>
      <c r="EO90" s="212">
        <f t="shared" si="129"/>
        <v>2614.9362143124686</v>
      </c>
      <c r="EQ90" s="212">
        <f t="shared" si="130"/>
        <v>323.30516423675044</v>
      </c>
      <c r="ET90" s="214">
        <f>IF(A90&lt;intermediates!$B$29,ET89+intermediates!$B$63,ET89+intermediates!$B$63*intermediates!$B$67)</f>
        <v>995.2389399545292</v>
      </c>
      <c r="EU90" s="215">
        <f t="shared" si="131"/>
        <v>995.2389399545292</v>
      </c>
      <c r="EV90" s="216">
        <f>data!EU90*conversions!$C$13</f>
        <v>1.1574628871671175</v>
      </c>
      <c r="EX90" s="212">
        <f>intermediates!$B$64+intermediates!$B$64*(EXP(-(data!A90-intermediates!$B$66)/intermediates!$B$65)-1)</f>
        <v>1.4811120420687423E-2</v>
      </c>
      <c r="EY90" s="217">
        <f>IF(A90&lt;intermediates!$B$29,data!EX90,data!EY89+(data!EX90-data!EX89)*intermediates!$B$68)</f>
        <v>1.4811120420687423E-2</v>
      </c>
      <c r="EZ90" s="217">
        <f t="shared" si="132"/>
        <v>1.4811120420687423E-2</v>
      </c>
      <c r="FB90" s="212">
        <f>intermediates!$B$94+intermediates!$B$95+(intermediates!$B$95*(EXP(-(data!A90-intermediates!$B$97)/intermediates!$B$96)-1))</f>
        <v>1.6970530364841176</v>
      </c>
      <c r="FC90" s="217">
        <f>IF(A90&lt;intermediates!$B$29,data!FB90,data!FC89+(data!FB90-data!FB89)*intermediates!$B$68)</f>
        <v>1.6970530364841176</v>
      </c>
      <c r="FD90" s="212">
        <f t="shared" si="133"/>
        <v>1.6970530364841176</v>
      </c>
      <c r="FF90" s="184">
        <f>intermediates!$B$98+intermediates!$B$99*EXP(-(A90-intermediates!$B$101)/intermediates!$B$100)</f>
        <v>0.87917186898644295</v>
      </c>
      <c r="FG90" s="184">
        <f t="shared" si="101"/>
        <v>0.87917186898644295</v>
      </c>
      <c r="FI90" s="184">
        <f>intermediates!$B$102+intermediates!$B$103*EXP(-(A90-intermediates!$B$105)/intermediates!$B$104)</f>
        <v>2.0253897415929617E-2</v>
      </c>
      <c r="FJ90" s="184">
        <f t="shared" si="134"/>
        <v>2.0253897415929617E-2</v>
      </c>
      <c r="FL90" s="184">
        <f>intermediates!$B$106</f>
        <v>4.5616870531049965E-2</v>
      </c>
      <c r="FM90" s="184">
        <f t="shared" si="135"/>
        <v>4.5616870531049965E-2</v>
      </c>
      <c r="FN90" s="218">
        <f>IF(A90&lt;intermediates!$B$29,0,IF(A90&lt;intermediates!$B$31,(data!A90-intermediates!$B$29)/(intermediates!$B$31-intermediates!$B$29),1))</f>
        <v>0.43333333333333335</v>
      </c>
      <c r="FO90" s="218">
        <f t="shared" si="176"/>
        <v>1054155912593966</v>
      </c>
      <c r="FP90" s="218">
        <f t="shared" si="177"/>
        <v>1199032805507362.5</v>
      </c>
      <c r="FQ90" s="218">
        <f t="shared" si="178"/>
        <v>17759019270724.227</v>
      </c>
      <c r="FR90" s="218">
        <f t="shared" si="179"/>
        <v>2034822263430340</v>
      </c>
      <c r="FS90" s="218">
        <f t="shared" si="180"/>
        <v>2044556519787.4067</v>
      </c>
      <c r="FT90" s="218">
        <f>intermediates!$B$69*data!EU90/intermediates!$B$71</f>
        <v>2.5332152989714243</v>
      </c>
      <c r="FU90" s="218">
        <f>BC90*conversions!$C$1*1000000</f>
        <v>9154430181495.832</v>
      </c>
      <c r="FV90" s="218">
        <f t="shared" si="184"/>
        <v>3613759235234.7061</v>
      </c>
      <c r="FX90" s="221"/>
      <c r="FY90" s="221"/>
      <c r="FZ90" s="221"/>
      <c r="GA90" s="218">
        <f t="shared" si="102"/>
        <v>609.72912098926986</v>
      </c>
      <c r="GB90" s="218">
        <f>GA90*1000000*10000*intermediates!$B$71/(intermediates!$B$72*data!EU90)</f>
        <v>3008672028571.957</v>
      </c>
      <c r="GC90" s="218">
        <f t="shared" si="181"/>
        <v>8566944372139.2383</v>
      </c>
      <c r="GD90" s="218">
        <f t="shared" si="144"/>
        <v>17233932155733.309</v>
      </c>
      <c r="GE90" s="218">
        <f t="shared" si="182"/>
        <v>18449194784169.996</v>
      </c>
      <c r="GF90" s="218">
        <f t="shared" si="183"/>
        <v>373668098565.08282</v>
      </c>
      <c r="GG90" s="218">
        <f t="shared" si="136"/>
        <v>841594529871.60498</v>
      </c>
      <c r="GH90" s="218">
        <f t="shared" si="103"/>
        <v>9626143193923.8125</v>
      </c>
      <c r="GI90" s="218">
        <f t="shared" si="145"/>
        <v>985357698002.83203</v>
      </c>
      <c r="GJ90" s="218">
        <f>ET90*intermediates!$B$73/intermediates!$B$71</f>
        <v>3.7998229484571366</v>
      </c>
      <c r="GK90" s="218">
        <f>CL90*conversions!$C$1*1000000/data!GJ90</f>
        <v>2851240059796.1338</v>
      </c>
      <c r="GL90" s="218">
        <f>MIN(1,FN90)*(intermediates!$B$75-data!$GL$69)+data!$GL$69</f>
        <v>0.45613336690227702</v>
      </c>
      <c r="GM90" s="218">
        <f>GL90*intermediates!$B$74*(FS90+GC90+GK90+GG90+GF90+GB90+FV90)</f>
        <v>1457375859279.1272</v>
      </c>
      <c r="GN90" s="218">
        <f>MIN(1,FN90)*intermediates!$B$76</f>
        <v>5.1999999999999998E-2</v>
      </c>
      <c r="GO90" s="218">
        <f t="shared" si="137"/>
        <v>1183406156568.7534</v>
      </c>
      <c r="GP90" s="218">
        <f>IF(A90&gt;intermediates!$B$29,MIN(1,(A90-intermediates!$B$29)/(intermediates!$B$31-intermediates!$B$29))*intermediates!$B$77,0)</f>
        <v>6.5000000000000002E-2</v>
      </c>
      <c r="GQ90" s="218">
        <f>IF(AND(A90&gt;intermediates!$B$29+intermediates!$B$30,data!GP90&lt;intermediates!$B$77),1,0)</f>
        <v>0</v>
      </c>
      <c r="GR90" s="218">
        <f t="shared" si="104"/>
        <v>3133075273453.125</v>
      </c>
      <c r="GS90" s="218">
        <f t="shared" si="105"/>
        <v>44833311403991.352</v>
      </c>
      <c r="GT90" s="218">
        <f t="shared" si="97"/>
        <v>87768486954125</v>
      </c>
      <c r="GU90" s="218">
        <f t="shared" si="106"/>
        <v>42700404174453.125</v>
      </c>
      <c r="GV90" s="218">
        <f t="shared" si="107"/>
        <v>22757810703245.258</v>
      </c>
      <c r="GW90" s="218">
        <f t="shared" si="108"/>
        <v>3367846649133.6484</v>
      </c>
      <c r="GX90" s="218">
        <f>MIN(intermediates!$B$88,FN90*intermediates!$B$87*GO90)</f>
        <v>256404667256.56326</v>
      </c>
      <c r="GY90" s="218">
        <f t="shared" si="109"/>
        <v>927001489312.19019</v>
      </c>
      <c r="GZ90" s="218">
        <f>MIN(intermediates!$B$88-GX90,intermediates!$B$87*data!GW90*FN90)</f>
        <v>729700107312.29053</v>
      </c>
      <c r="HA90" s="218">
        <f t="shared" si="138"/>
        <v>2638146541821.3579</v>
      </c>
      <c r="HB90" s="218">
        <f t="shared" si="139"/>
        <v>986104774568.85376</v>
      </c>
      <c r="HC90" s="218">
        <f t="shared" si="110"/>
        <v>21324167301857.777</v>
      </c>
      <c r="HD90" s="218">
        <f>HC90*intermediates!$B$79/(10000*1000000000)</f>
        <v>1415.3746397849627</v>
      </c>
      <c r="HE90" s="218">
        <f>(GV90*intermediates!$B$80+GV90*GL90*intermediates!$B$82)/(10000*1000000000)</f>
        <v>758.91160088404536</v>
      </c>
      <c r="HF90" s="218">
        <f>GU90*intermediates!$B$78/(10000*1000000000)</f>
        <v>4299.9030488639073</v>
      </c>
      <c r="HG90" s="218">
        <f>HB90*intermediates!$B$81/(10000*1000000000)</f>
        <v>247.87075657873521</v>
      </c>
      <c r="HH90" s="218">
        <f t="shared" si="111"/>
        <v>21.730356615244091</v>
      </c>
      <c r="HI90" s="218">
        <f t="shared" si="112"/>
        <v>24.223057721204754</v>
      </c>
      <c r="HJ90" s="218">
        <f t="shared" si="113"/>
        <v>-37.977251410045028</v>
      </c>
      <c r="HK90" s="218">
        <f ca="1">SUM(HJ90:INDIRECT(ADDRESS(MAX(CELL("row",HJ90)-intermediates!$B$83,69),CELL("col",HJ90))))/intermediates!$B$83+SUM(HH90:INDIRECT(ADDRESS(MAX(CELL("row",HH90)-intermediates!$B$84,69),CELL("col",HH90))))/intermediates!$B$84+SUM(HI90:INDIRECT(ADDRESS(MAX(CELL("row",HI90)-intermediates!$B$85,69),CELL("col",HI90))))/intermediates!$B$85</f>
        <v>-12.811706979659945</v>
      </c>
      <c r="HL90" s="218">
        <f t="shared" ca="1" si="163"/>
        <v>-87.240657522217518</v>
      </c>
      <c r="HM90" s="188">
        <f t="shared" si="114"/>
        <v>2034</v>
      </c>
      <c r="HQ90" s="185">
        <f t="shared" si="115"/>
        <v>1213.6298753811964</v>
      </c>
      <c r="HR90" s="185">
        <f t="shared" si="116"/>
        <v>404.53851116520889</v>
      </c>
      <c r="HS90" s="185">
        <f t="shared" si="117"/>
        <v>336.80265446457139</v>
      </c>
      <c r="HT90" s="185">
        <f t="shared" si="118"/>
        <v>319.17909680267229</v>
      </c>
      <c r="HU90" s="185">
        <f t="shared" si="119"/>
        <v>163.14442162403887</v>
      </c>
      <c r="HV90" s="185">
        <f t="shared" si="120"/>
        <v>132.47516879772786</v>
      </c>
      <c r="HW90" s="185">
        <f t="shared" si="121"/>
        <v>350.7288460541115</v>
      </c>
      <c r="HX90" s="185">
        <f t="shared" si="122"/>
        <v>110.3048405186169</v>
      </c>
      <c r="HY90" s="185">
        <f t="shared" si="123"/>
        <v>1988.0149030090085</v>
      </c>
      <c r="HZ90" s="185">
        <f t="shared" si="140"/>
        <v>2920.4985742895269</v>
      </c>
      <c r="IA90" s="185">
        <f t="shared" si="141"/>
        <v>5018.8183178171521</v>
      </c>
      <c r="IB90" s="185">
        <f t="shared" si="124"/>
        <v>2259.0626984148944</v>
      </c>
      <c r="IC90" s="185">
        <f t="shared" si="175"/>
        <v>5395.8284008324845</v>
      </c>
      <c r="ID90" s="185">
        <f t="shared" si="125"/>
        <v>4429.3233949646601</v>
      </c>
      <c r="IE90" s="184">
        <f t="shared" si="142"/>
        <v>-0.55885055251485138</v>
      </c>
      <c r="IF90" s="184">
        <f t="shared" si="143"/>
        <v>-8.5116856322553613E-2</v>
      </c>
    </row>
    <row r="91" spans="1:240" x14ac:dyDescent="0.3">
      <c r="A91" s="211">
        <v>2035</v>
      </c>
      <c r="E91" s="207">
        <v>8556281.3330000006</v>
      </c>
      <c r="F91" s="207">
        <v>8887524.2290000003</v>
      </c>
      <c r="G91" s="207">
        <v>9218767.0629999992</v>
      </c>
      <c r="I91" s="207">
        <f t="shared" si="164"/>
        <v>8556281333.000001</v>
      </c>
      <c r="J91" s="207">
        <f t="shared" si="164"/>
        <v>8887524229</v>
      </c>
      <c r="K91" s="207">
        <f t="shared" si="164"/>
        <v>9218767063</v>
      </c>
      <c r="L91" s="187">
        <f>IF(intermediates!$B$4&gt;=2,(intermediates!$B$4-2)*K91+(1-(intermediates!$B$4-2))*J91,(intermediates!$B$4-1)*J91+(1-(intermediates!$B$4-1))*I91)</f>
        <v>9009838778.1130066</v>
      </c>
      <c r="AJ91" s="184">
        <f>IF(intermediates!$B$46=0,$AJ$74+(intermediates!$B$15-$AJ$74)*MIN(1,(data!A91-data!$A$74)/(intermediates!$B$32-data!$A$74)),IF(A91&lt;2021,$AJ$74+(intermediates!$B$15-$AJ$74)*MIN(1,(data!A91-data!$A$74)/(intermediates!$B$32-data!$A$74)),intermediates!$B$47+(intermediates!$B$15-intermediates!$B$47)*MIN(1,(data!A91-$A$77)/(intermediates!$B$32-$A$77))))</f>
        <v>23224.967911475658</v>
      </c>
      <c r="AK91" s="192">
        <f t="shared" si="146"/>
        <v>23224.967911475658</v>
      </c>
      <c r="AL91" s="192">
        <f t="shared" si="185"/>
        <v>209253216509243.63</v>
      </c>
      <c r="AM91" s="192">
        <f>data!AL91/(1000000*conversions!$C$1)</f>
        <v>17935.989986506596</v>
      </c>
      <c r="AN91" s="192">
        <f>IF(intermediates!$B$13=1,($AJ$74+(27400-$AJ$74)*MIN(1,(data!A91-data!$A$74)/(intermediates!$B$32-data!$A$74)))*L91/(1000000*conversions!$C$1),data!AM91)</f>
        <v>17935.989986506596</v>
      </c>
      <c r="AV91" s="214">
        <f>IF(A91&lt;intermediates!$B$29,0,IF(A91&lt;intermediates!$B$31,(data!A91-intermediates!$B$29)*intermediates!$B$26/(intermediates!$B$31-intermediates!$B$29),intermediates!$B$26))</f>
        <v>4.666666666666667</v>
      </c>
      <c r="AW91" s="212">
        <f>MIN(AW90+intermediates!$B$16,intermediates!$B$17*data!$AW$74)</f>
        <v>1349.999333416474</v>
      </c>
      <c r="AX91" s="212">
        <f>AV91*1000/conversions!$C$16/intermediates!$B$40</f>
        <v>3820.6272985095984</v>
      </c>
      <c r="AY91" s="212">
        <f>AX91*(1-intermediates!$B$39)*intermediates!$B$28/(conversions!$C$2)</f>
        <v>1000.0806840714135</v>
      </c>
      <c r="AZ91" s="213">
        <f>IF(A91&lt;intermediates!$B$29,0,MIN(intermediates!$B$25,intermediates!$B$25*(A91-intermediates!$B$29)/(intermediates!$B$31-intermediates!$B$29)))</f>
        <v>0</v>
      </c>
      <c r="BA91" s="212">
        <f>IF(A91&lt;intermediates!$B$29,data!$BA$74,IF(intermediates!$B$23&gt;data!$BA$74,MIN(intermediates!$B$23,data!$BA$74+(intermediates!$B$23-data!$BA$74)*((data!A91-intermediates!$B$29)/(intermediates!$B$31-intermediates!$B$29))),MAX(intermediates!$B$23,data!$BA$74+(intermediates!$B$23-data!$BA$74)*((data!A91-intermediates!$B$29)/(intermediates!$B$31-intermediates!$B$29)))))</f>
        <v>4.6448939928379854E-2</v>
      </c>
      <c r="BB91" s="212">
        <f t="shared" si="147"/>
        <v>833.10772143926749</v>
      </c>
      <c r="BC91" s="212">
        <f t="shared" si="166"/>
        <v>833.10772143926749</v>
      </c>
      <c r="BD91" s="212">
        <f t="shared" si="167"/>
        <v>0</v>
      </c>
      <c r="BE91" s="214">
        <f>MAX(0,MIN(1,(data!A91-intermediates!$B$29)/(intermediates!$B$31-intermediates!$B$29)))*((intermediates!$B$38*L91)-$BE$69*1000000000)/1000000000+$BE$69</f>
        <v>644.02668125121795</v>
      </c>
      <c r="BF91" s="214">
        <f t="shared" si="99"/>
        <v>644.02668125121795</v>
      </c>
      <c r="BG91" s="214">
        <f t="shared" si="168"/>
        <v>0</v>
      </c>
      <c r="BH91" s="214">
        <f>BD91*conversions!$C$2/conversions!$C$17+BG91*conversions!$C$6/conversions!$C$10</f>
        <v>0</v>
      </c>
      <c r="BI91" s="214">
        <f>BH91*intermediates!$B$41*conversions!$C$11/(conversions!$C$2*conversions!$C$6*intermediates!$B$42)</f>
        <v>0</v>
      </c>
      <c r="BJ91" s="214">
        <f>BH91*intermediates!$B$43/(conversions!$C$1*intermediates!$B$42)</f>
        <v>0</v>
      </c>
      <c r="BK91" s="214">
        <f t="shared" si="148"/>
        <v>0</v>
      </c>
      <c r="BL91" s="214">
        <f t="shared" si="149"/>
        <v>17935.989986506596</v>
      </c>
      <c r="BM91" s="214">
        <f t="shared" si="150"/>
        <v>14752.802247579441</v>
      </c>
      <c r="BN91" s="214">
        <f>IF(A91&lt;intermediates!$B$29,MIN(BO90+intermediates!$B$33*AN90),MIN(BO90*intermediates!$B$35,BO90+intermediates!$B$37*AN90))</f>
        <v>5880.2541466127705</v>
      </c>
      <c r="BO91" s="212">
        <f>IF(A91&lt;intermediates!$B$29,MIN(BM91,BO90+intermediates!$B$33*AN90),MIN(BM91,BO90*intermediates!$B$35,BO90+intermediates!$B$37*AN90))</f>
        <v>5880.2541466127705</v>
      </c>
      <c r="BP91" s="214">
        <f t="shared" si="151"/>
        <v>0</v>
      </c>
      <c r="BQ91" s="214">
        <f t="shared" si="152"/>
        <v>8872.548100966671</v>
      </c>
      <c r="BR91" s="212" t="str">
        <f t="shared" si="186"/>
        <v/>
      </c>
      <c r="BS91" s="212">
        <f>BP91*conversions!$C$1*intermediates!$B$42/intermediates!$B$43</f>
        <v>0</v>
      </c>
      <c r="BT91" s="214">
        <f>MIN(BT90+BS91,intermediates!$B$27*1000)</f>
        <v>0</v>
      </c>
      <c r="BU91" s="219" t="str">
        <f>IF(AND(BT91=intermediates!$B$27*1000,BT90&lt;&gt;intermediates!$B$27*1000),A91,"")</f>
        <v/>
      </c>
      <c r="BV91" s="212">
        <f>BT91*intermediates!$B$43/(conversions!$C$1*intermediates!$B$42)</f>
        <v>0</v>
      </c>
      <c r="BW91" s="214">
        <f t="shared" si="153"/>
        <v>17935.989986506596</v>
      </c>
      <c r="BX91" s="214">
        <f t="shared" si="154"/>
        <v>5880.2541466127705</v>
      </c>
      <c r="BY91" s="227">
        <f>IF(OR(BQ91&gt;0,BT91&lt;&gt;intermediates!$B$27*1000),MAX(0,(BX91-BX90)/AM90),0.000000000001)</f>
        <v>2.9986327406272401E-2</v>
      </c>
      <c r="BZ91" s="322">
        <f>BH91*intermediates!$B$49*1000000</f>
        <v>0</v>
      </c>
      <c r="CA91" s="322">
        <f>BI91*conversions!$C$1*1000000*intermediates!$B$50</f>
        <v>0</v>
      </c>
      <c r="CB91" s="322">
        <f>BT91*1000000*intermediates!$B$49</f>
        <v>0</v>
      </c>
      <c r="CC91" s="214">
        <f>BW91*conversions!$C$1*1000000/L91</f>
        <v>23224.967911475655</v>
      </c>
      <c r="CD91" s="173">
        <f t="shared" si="100"/>
        <v>2035</v>
      </c>
      <c r="CE91" s="173"/>
      <c r="CF91" s="173"/>
      <c r="CG91" s="173"/>
      <c r="CH91" s="173"/>
      <c r="CI91" s="173">
        <f t="shared" si="155"/>
        <v>8872.548100966671</v>
      </c>
      <c r="CJ91" s="173">
        <f t="shared" si="156"/>
        <v>1349.999333416474</v>
      </c>
      <c r="CK91" s="173">
        <f t="shared" si="157"/>
        <v>833.10772143926749</v>
      </c>
      <c r="CL91" s="173">
        <f t="shared" si="158"/>
        <v>1000.0806840714135</v>
      </c>
      <c r="CM91" s="173"/>
      <c r="CN91" s="173"/>
      <c r="CO91" s="329">
        <f t="shared" si="169"/>
        <v>5880.2541466127705</v>
      </c>
      <c r="CP91" s="174">
        <f t="shared" si="159"/>
        <v>30.507836859217111</v>
      </c>
      <c r="CQ91" s="228">
        <f t="shared" si="160"/>
        <v>4.666666666666667</v>
      </c>
      <c r="CR91" s="228">
        <f t="shared" si="170"/>
        <v>35</v>
      </c>
      <c r="CS91" s="214">
        <f t="shared" ca="1" si="161"/>
        <v>39.604785493465556</v>
      </c>
      <c r="CT91" s="190">
        <f t="shared" ca="1" si="162"/>
        <v>4.3957263241685061</v>
      </c>
      <c r="CU91" s="190">
        <f t="shared" ca="1" si="187"/>
        <v>39.604785493465556</v>
      </c>
      <c r="CV91" s="198">
        <f t="shared" si="174"/>
        <v>2940.043971826597</v>
      </c>
      <c r="CW91" s="198">
        <f t="shared" ca="1" si="171"/>
        <v>3042.6272473326189</v>
      </c>
      <c r="CX91" s="198">
        <f t="shared" ca="1" si="172"/>
        <v>3006.0482446497308</v>
      </c>
      <c r="CY91" s="198">
        <f t="shared" ca="1" si="173"/>
        <v>-36.579002682889822</v>
      </c>
      <c r="CZ91" s="199">
        <f ca="1">IF(CX91&lt;intermediates!$B$55,intermediates!$B$56+(CX91-intermediates!$B$55)*intermediates!$B$53,intermediates!$B$56+(data!CX91-intermediates!$B$55)*intermediates!$B$58)</f>
        <v>1.6037798828100231</v>
      </c>
      <c r="DG91" s="201">
        <f>IF(A91&gt;MAX(intermediates!B$31,intermediates!$B$32),DG90,DG90+intermediates!$B$60*DG$73)</f>
        <v>16935124472500</v>
      </c>
      <c r="DH91" s="201">
        <f>IF(A91&gt;MAX(intermediates!B$31,intermediates!$B$32),DH90,DH90+intermediates!$B$61*DH$73)</f>
        <v>31261537238750</v>
      </c>
      <c r="DI91" s="201">
        <f>IF(A91&gt;MAX(intermediates!B$31,intermediates!$B$32),DI90,DI90+intermediates!$B$62*DI$73)</f>
        <v>39542387294000</v>
      </c>
      <c r="DJ91" s="221"/>
      <c r="EE91" s="218"/>
      <c r="EF91" s="212">
        <f>$EF$69+intermediates!$B$90*(A91-2013)*intermediates!$B$92+intermediates!$B$91*intermediates!$B$92*(A91-2013)^2</f>
        <v>2944.4624685492186</v>
      </c>
      <c r="EH91" s="212">
        <f>IF(A91&lt;intermediates!$B$29,data!EH90,IF(A91&lt;intermediates!$B$31,data!$EH$69+(intermediates!$B$93-data!$EH$69)*(data!A91-intermediates!$B$29)/(intermediates!$B$31-intermediates!$B$29),intermediates!$B$93))</f>
        <v>0.1050446536383826</v>
      </c>
      <c r="EI91" s="212">
        <f t="shared" si="128"/>
        <v>0.1050446536383826</v>
      </c>
      <c r="EN91" s="218"/>
      <c r="EO91" s="212">
        <f t="shared" si="129"/>
        <v>2635.1624283892488</v>
      </c>
      <c r="EQ91" s="212">
        <f t="shared" si="130"/>
        <v>309.30004015996974</v>
      </c>
      <c r="ET91" s="214">
        <f>IF(A91&lt;intermediates!$B$29,ET90+intermediates!$B$63,ET90+intermediates!$B$63*intermediates!$B$67)</f>
        <v>1005.214529345972</v>
      </c>
      <c r="EU91" s="215">
        <f t="shared" si="131"/>
        <v>1005.214529345972</v>
      </c>
      <c r="EV91" s="216">
        <f>data!EU91*conversions!$C$13</f>
        <v>1.1690644976293654</v>
      </c>
      <c r="EX91" s="212">
        <f>intermediates!$B$64+intermediates!$B$64*(EXP(-(data!A91-intermediates!$B$66)/intermediates!$B$65)-1)</f>
        <v>1.4535774486472161E-2</v>
      </c>
      <c r="EY91" s="217">
        <f>IF(A91&lt;intermediates!$B$29,data!EX91,data!EY90+(data!EX91-data!EX90)*intermediates!$B$68)</f>
        <v>1.4535774486472161E-2</v>
      </c>
      <c r="EZ91" s="217">
        <f t="shared" si="132"/>
        <v>1.4535774486472161E-2</v>
      </c>
      <c r="FB91" s="212">
        <f>intermediates!$B$94+intermediates!$B$95+(intermediates!$B$95*(EXP(-(data!A91-intermediates!$B$97)/intermediates!$B$96)-1))</f>
        <v>1.6916793098301079</v>
      </c>
      <c r="FC91" s="217">
        <f>IF(A91&lt;intermediates!$B$29,data!FB91,data!FC90+(data!FB91-data!FB90)*intermediates!$B$68)</f>
        <v>1.6916793098301079</v>
      </c>
      <c r="FD91" s="212">
        <f t="shared" si="133"/>
        <v>1.6916793098301079</v>
      </c>
      <c r="FF91" s="184">
        <f>intermediates!$B$98+intermediates!$B$99*EXP(-(A91-intermediates!$B$101)/intermediates!$B$100)</f>
        <v>0.87984641162711108</v>
      </c>
      <c r="FG91" s="184">
        <f t="shared" si="101"/>
        <v>0.87984641162711108</v>
      </c>
      <c r="FI91" s="184">
        <f>intermediates!$B$102+intermediates!$B$103*EXP(-(A91-intermediates!$B$105)/intermediates!$B$104)</f>
        <v>2.0053272184362838E-2</v>
      </c>
      <c r="FJ91" s="184">
        <f t="shared" si="134"/>
        <v>2.0053272184362838E-2</v>
      </c>
      <c r="FL91" s="184">
        <f>intermediates!$B$106</f>
        <v>4.5616870531049965E-2</v>
      </c>
      <c r="FM91" s="184">
        <f t="shared" si="135"/>
        <v>4.5616870531049965E-2</v>
      </c>
      <c r="FN91" s="218">
        <f>IF(A91&lt;intermediates!$B$29,0,IF(A91&lt;intermediates!$B$31,(data!A91-intermediates!$B$29)/(intermediates!$B$31-intermediates!$B$29),1))</f>
        <v>0.46666666666666667</v>
      </c>
      <c r="FO91" s="218">
        <f t="shared" si="176"/>
        <v>1017161376005400</v>
      </c>
      <c r="FP91" s="218">
        <f t="shared" si="177"/>
        <v>1156066970966388</v>
      </c>
      <c r="FQ91" s="218">
        <f t="shared" si="178"/>
        <v>16804328781226.375</v>
      </c>
      <c r="FR91" s="218">
        <f t="shared" si="179"/>
        <v>1955694575561802.8</v>
      </c>
      <c r="FS91" s="218">
        <f t="shared" si="180"/>
        <v>1945549450856.2729</v>
      </c>
      <c r="FT91" s="218">
        <f>intermediates!$B$69*data!EU91/intermediates!$B$71</f>
        <v>2.5586065036843495</v>
      </c>
      <c r="FU91" s="218">
        <f>BC91*conversions!$C$1*1000000</f>
        <v>9719590083458.1191</v>
      </c>
      <c r="FV91" s="218">
        <f t="shared" si="184"/>
        <v>3798782684817.7227</v>
      </c>
      <c r="FX91" s="221"/>
      <c r="FY91" s="221"/>
      <c r="FZ91" s="221"/>
      <c r="GA91" s="218">
        <f t="shared" si="102"/>
        <v>644.02668125121795</v>
      </c>
      <c r="GB91" s="218">
        <f>GA91*1000000*10000*intermediates!$B$71/(intermediates!$B$72*data!EU91)</f>
        <v>3146374209573.7983</v>
      </c>
      <c r="GC91" s="218">
        <f t="shared" si="181"/>
        <v>8621017303661.6064</v>
      </c>
      <c r="GD91" s="218">
        <f t="shared" si="144"/>
        <v>17511723648909.402</v>
      </c>
      <c r="GE91" s="218">
        <f t="shared" si="182"/>
        <v>18742549552898.977</v>
      </c>
      <c r="GF91" s="218">
        <f t="shared" si="183"/>
        <v>375849447613.19116</v>
      </c>
      <c r="GG91" s="218">
        <f t="shared" si="136"/>
        <v>854976456376.38098</v>
      </c>
      <c r="GH91" s="218">
        <f t="shared" si="103"/>
        <v>9632902176303.8652</v>
      </c>
      <c r="GI91" s="218">
        <f t="shared" si="145"/>
        <v>933664578214.01367</v>
      </c>
      <c r="GJ91" s="218">
        <f>ET91*intermediates!$B$73/intermediates!$B$71</f>
        <v>3.8379097555265238</v>
      </c>
      <c r="GK91" s="218">
        <f>CL91*conversions!$C$1*1000000/data!GJ91</f>
        <v>3040094406605.5757</v>
      </c>
      <c r="GL91" s="218">
        <f>MIN(1,FN91)*(intermediates!$B$75-data!$GL$69)+data!$GL$69</f>
        <v>0.48812552179037833</v>
      </c>
      <c r="GM91" s="218">
        <f>GL91*intermediates!$B$74*(FS91+GC91+GK91+GG91+GF91+GB91+FV91)</f>
        <v>1594899667306.0784</v>
      </c>
      <c r="GN91" s="218">
        <f>MIN(1,FN91)*intermediates!$B$76</f>
        <v>5.6000000000000001E-2</v>
      </c>
      <c r="GO91" s="218">
        <f t="shared" si="137"/>
        <v>1309142443101.395</v>
      </c>
      <c r="GP91" s="218">
        <f>IF(A91&gt;intermediates!$B$29,MIN(1,(A91-intermediates!$B$29)/(intermediates!$B$31-intermediates!$B$29))*intermediates!$B$77,0)</f>
        <v>6.9999999999999993E-2</v>
      </c>
      <c r="GQ91" s="218">
        <f>IF(AND(A91&gt;intermediates!$B$29+intermediates!$B$30,data!GP91&lt;intermediates!$B$77),1,0)</f>
        <v>0</v>
      </c>
      <c r="GR91" s="218">
        <f t="shared" si="104"/>
        <v>3373766319787.4995</v>
      </c>
      <c r="GS91" s="218">
        <f t="shared" si="105"/>
        <v>44864781170925.898</v>
      </c>
      <c r="GT91" s="218">
        <f t="shared" si="97"/>
        <v>87739049005250</v>
      </c>
      <c r="GU91" s="218">
        <f t="shared" si="106"/>
        <v>42916153613787.5</v>
      </c>
      <c r="GV91" s="218">
        <f t="shared" si="107"/>
        <v>23377543626810.629</v>
      </c>
      <c r="GW91" s="218">
        <f t="shared" si="108"/>
        <v>3331880540324.1016</v>
      </c>
      <c r="GX91" s="218">
        <f>MIN(intermediates!$B$88,FN91*intermediates!$B$87*GO91)</f>
        <v>305466570056.99219</v>
      </c>
      <c r="GY91" s="218">
        <f t="shared" si="109"/>
        <v>1003675873044.4028</v>
      </c>
      <c r="GZ91" s="218">
        <f>MIN(intermediates!$B$88-GX91,intermediates!$B$87*data!GW91*FN91)</f>
        <v>777438792742.29041</v>
      </c>
      <c r="HA91" s="218">
        <f t="shared" si="138"/>
        <v>2554441747581.811</v>
      </c>
      <c r="HB91" s="218">
        <f t="shared" si="139"/>
        <v>1082905362799.2826</v>
      </c>
      <c r="HC91" s="218">
        <f t="shared" si="110"/>
        <v>20362446401852.59</v>
      </c>
      <c r="HD91" s="218">
        <f>HC91*intermediates!$B$79/(10000*1000000000)</f>
        <v>1351.5411801637783</v>
      </c>
      <c r="HE91" s="218">
        <f>(GV91*intermediates!$B$80+GV91*GL91*intermediates!$B$82)/(10000*1000000000)</f>
        <v>784.99039357120398</v>
      </c>
      <c r="HF91" s="218">
        <f>GU91*intermediates!$B$78/(10000*1000000000)</f>
        <v>4321.628877692001</v>
      </c>
      <c r="HG91" s="218">
        <f>HB91*intermediates!$B$81/(10000*1000000000)</f>
        <v>272.20289212937553</v>
      </c>
      <c r="HH91" s="218">
        <f t="shared" si="111"/>
        <v>21.725828828093654</v>
      </c>
      <c r="HI91" s="218">
        <f t="shared" si="112"/>
        <v>24.332135550640317</v>
      </c>
      <c r="HJ91" s="218">
        <f t="shared" si="113"/>
        <v>-37.754666934025749</v>
      </c>
      <c r="HK91" s="218">
        <f ca="1">SUM(HJ91:INDIRECT(ADDRESS(MAX(CELL("row",HJ91)-intermediates!$B$83,69),CELL("col",HJ91))))/intermediates!$B$83+SUM(HH91:INDIRECT(ADDRESS(MAX(CELL("row",HH91)-intermediates!$B$84,69),CELL("col",HH91))))/intermediates!$B$84+SUM(HI91:INDIRECT(ADDRESS(MAX(CELL("row",HI91)-intermediates!$B$85,69),CELL("col",HI91))))/intermediates!$B$85</f>
        <v>-13.763615300915109</v>
      </c>
      <c r="HL91" s="218">
        <f t="shared" ca="1" si="163"/>
        <v>-101.00427282313262</v>
      </c>
      <c r="HM91" s="188">
        <f t="shared" si="114"/>
        <v>2035</v>
      </c>
      <c r="HQ91" s="185">
        <f t="shared" si="115"/>
        <v>1205.7627608924545</v>
      </c>
      <c r="HR91" s="185">
        <f t="shared" si="116"/>
        <v>421.62604441334167</v>
      </c>
      <c r="HS91" s="185">
        <f t="shared" si="117"/>
        <v>349.21537300057719</v>
      </c>
      <c r="HT91" s="185">
        <f t="shared" si="118"/>
        <v>337.41940133165002</v>
      </c>
      <c r="HU91" s="185">
        <f t="shared" si="119"/>
        <v>177.01755898012965</v>
      </c>
      <c r="HV91" s="185">
        <f t="shared" si="120"/>
        <v>145.3014282876633</v>
      </c>
      <c r="HW91" s="185">
        <f t="shared" si="121"/>
        <v>374.45357268580238</v>
      </c>
      <c r="HX91" s="185">
        <f t="shared" si="122"/>
        <v>103.62722366154898</v>
      </c>
      <c r="HY91" s="185">
        <f t="shared" si="123"/>
        <v>1865.1087100523926</v>
      </c>
      <c r="HZ91" s="185">
        <f t="shared" si="140"/>
        <v>3010.7961395916191</v>
      </c>
      <c r="IA91" s="185">
        <f t="shared" si="141"/>
        <v>4979.5320733055605</v>
      </c>
      <c r="IB91" s="185">
        <f t="shared" si="124"/>
        <v>2268.9006841415321</v>
      </c>
      <c r="IC91" s="185">
        <f t="shared" si="175"/>
        <v>5349.3367526543207</v>
      </c>
      <c r="ID91" s="185">
        <f t="shared" si="125"/>
        <v>4388.8007619023829</v>
      </c>
      <c r="IE91" s="184">
        <f t="shared" si="142"/>
        <v>-0.53284273767055912</v>
      </c>
      <c r="IF91" s="184">
        <f t="shared" si="143"/>
        <v>-8.426098595290607E-2</v>
      </c>
    </row>
    <row r="92" spans="1:240" x14ac:dyDescent="0.3">
      <c r="A92" s="211">
        <v>2036</v>
      </c>
      <c r="E92" s="207">
        <v>8590768.2459999993</v>
      </c>
      <c r="F92" s="207">
        <v>8952048.8850000091</v>
      </c>
      <c r="G92" s="207">
        <v>9313353.9959999993</v>
      </c>
      <c r="I92" s="207">
        <f t="shared" si="164"/>
        <v>8590768246</v>
      </c>
      <c r="J92" s="207">
        <f t="shared" si="164"/>
        <v>8952048885.0000095</v>
      </c>
      <c r="K92" s="207">
        <f t="shared" si="164"/>
        <v>9313353996</v>
      </c>
      <c r="L92" s="187">
        <f>IF(intermediates!$B$4&gt;=2,(intermediates!$B$4-2)*K92+(1-(intermediates!$B$4-2))*J92,(intermediates!$B$4-1)*J92+(1-(intermediates!$B$4-1))*I92)</f>
        <v>9085464214.2028389</v>
      </c>
      <c r="AJ92" s="184">
        <f>IF(intermediates!$B$46=0,$AJ$74+(intermediates!$B$15-$AJ$74)*MIN(1,(data!A92-data!$A$74)/(intermediates!$B$32-data!$A$74)),IF(A92&lt;2021,$AJ$74+(intermediates!$B$15-$AJ$74)*MIN(1,(data!A92-data!$A$74)/(intermediates!$B$32-data!$A$74)),intermediates!$B$47+(intermediates!$B$15-intermediates!$B$47)*MIN(1,(data!A92-$A$77)/(intermediates!$B$32-$A$77))))</f>
        <v>23344.254542576353</v>
      </c>
      <c r="AK92" s="192">
        <f t="shared" si="146"/>
        <v>23344.254542576353</v>
      </c>
      <c r="AL92" s="192">
        <f t="shared" si="185"/>
        <v>212093389253819.53</v>
      </c>
      <c r="AM92" s="192">
        <f>data!AL92/(1000000*conversions!$C$1)</f>
        <v>18179.433364613105</v>
      </c>
      <c r="AN92" s="192">
        <f>IF(intermediates!$B$13=1,($AJ$74+(27400-$AJ$74)*MIN(1,(data!A92-data!$A$74)/(intermediates!$B$32-data!$A$74)))*L92/(1000000*conversions!$C$1),data!AM92)</f>
        <v>18179.433364613105</v>
      </c>
      <c r="AV92" s="214">
        <f>IF(A92&lt;intermediates!$B$29,0,IF(A92&lt;intermediates!$B$31,(data!A92-intermediates!$B$29)*intermediates!$B$26/(intermediates!$B$31-intermediates!$B$29),intermediates!$B$26))</f>
        <v>5</v>
      </c>
      <c r="AW92" s="212">
        <f>MIN(AW91+intermediates!$B$16,intermediates!$B$17*data!$AW$74)</f>
        <v>1373.5995946036833</v>
      </c>
      <c r="AX92" s="212">
        <f>AV92*1000/conversions!$C$16/intermediates!$B$40</f>
        <v>4093.5292484031411</v>
      </c>
      <c r="AY92" s="212">
        <f>AX92*(1-intermediates!$B$39)*intermediates!$B$28/(conversions!$C$2)</f>
        <v>1071.5150186479432</v>
      </c>
      <c r="AZ92" s="213">
        <f>IF(A92&lt;intermediates!$B$29,0,MIN(intermediates!$B$25,intermediates!$B$25*(A92-intermediates!$B$29)/(intermediates!$B$31-intermediates!$B$29)))</f>
        <v>0</v>
      </c>
      <c r="BA92" s="212">
        <f>IF(A92&lt;intermediates!$B$29,data!$BA$74,IF(intermediates!$B$23&gt;data!$BA$74,MIN(intermediates!$B$23,data!$BA$74+(intermediates!$B$23-data!$BA$74)*((data!A92-intermediates!$B$29)/(intermediates!$B$31-intermediates!$B$29))),MAX(intermediates!$B$23,data!$BA$74+(intermediates!$B$23-data!$BA$74)*((data!A92-intermediates!$B$29)/(intermediates!$B$31-intermediates!$B$29)))))</f>
        <v>4.8545881182856118E-2</v>
      </c>
      <c r="BB92" s="212">
        <f t="shared" si="147"/>
        <v>882.53661209015809</v>
      </c>
      <c r="BC92" s="212">
        <f t="shared" si="166"/>
        <v>882.53661209015809</v>
      </c>
      <c r="BD92" s="212">
        <f t="shared" si="167"/>
        <v>0</v>
      </c>
      <c r="BE92" s="214">
        <f>MAX(0,MIN(1,(data!A92-intermediates!$B$29)/(intermediates!$B$31-intermediates!$B$29)))*((intermediates!$B$38*L92)-$BE$69*1000000000)/1000000000+$BE$69</f>
        <v>678.8909688826393</v>
      </c>
      <c r="BF92" s="214">
        <f t="shared" si="99"/>
        <v>678.8909688826393</v>
      </c>
      <c r="BG92" s="214">
        <f t="shared" si="168"/>
        <v>0</v>
      </c>
      <c r="BH92" s="214">
        <f>BD92*conversions!$C$2/conversions!$C$17+BG92*conversions!$C$6/conversions!$C$10</f>
        <v>0</v>
      </c>
      <c r="BI92" s="214">
        <f>BH92*intermediates!$B$41*conversions!$C$11/(conversions!$C$2*conversions!$C$6*intermediates!$B$42)</f>
        <v>0</v>
      </c>
      <c r="BJ92" s="214">
        <f>BH92*intermediates!$B$43/(conversions!$C$1*intermediates!$B$42)</f>
        <v>0</v>
      </c>
      <c r="BK92" s="214">
        <f t="shared" si="148"/>
        <v>0</v>
      </c>
      <c r="BL92" s="214">
        <f t="shared" si="149"/>
        <v>18179.433364613105</v>
      </c>
      <c r="BM92" s="214">
        <f t="shared" si="150"/>
        <v>14851.782139271321</v>
      </c>
      <c r="BN92" s="214">
        <f>IF(A92&lt;intermediates!$B$29,MIN(BO91+intermediates!$B$33*AN91),MIN(BO91*intermediates!$B$35,BO91+intermediates!$B$37*AN91))</f>
        <v>6418.0886147037809</v>
      </c>
      <c r="BO92" s="212">
        <f>IF(A92&lt;intermediates!$B$29,MIN(BM92,BO91+intermediates!$B$33*AN91),MIN(BM92,BO91*intermediates!$B$35,BO91+intermediates!$B$37*AN91))</f>
        <v>6418.0886147037809</v>
      </c>
      <c r="BP92" s="214">
        <f t="shared" si="151"/>
        <v>0</v>
      </c>
      <c r="BQ92" s="214">
        <f t="shared" si="152"/>
        <v>8433.6935245675395</v>
      </c>
      <c r="BR92" s="212" t="str">
        <f t="shared" si="186"/>
        <v/>
      </c>
      <c r="BS92" s="212">
        <f>BP92*conversions!$C$1*intermediates!$B$42/intermediates!$B$43</f>
        <v>0</v>
      </c>
      <c r="BT92" s="214">
        <f>MIN(BT91+BS92,intermediates!$B$27*1000)</f>
        <v>0</v>
      </c>
      <c r="BU92" s="219" t="str">
        <f>IF(AND(BT92=intermediates!$B$27*1000,BT91&lt;&gt;intermediates!$B$27*1000),A92,"")</f>
        <v/>
      </c>
      <c r="BV92" s="212">
        <f>BT92*intermediates!$B$43/(conversions!$C$1*intermediates!$B$42)</f>
        <v>0</v>
      </c>
      <c r="BW92" s="214">
        <f t="shared" si="153"/>
        <v>18179.433364613105</v>
      </c>
      <c r="BX92" s="214">
        <f t="shared" si="154"/>
        <v>6418.0886147037809</v>
      </c>
      <c r="BY92" s="227">
        <f>IF(OR(BQ92&gt;0,BT92&lt;&gt;intermediates!$B$27*1000),MAX(0,(BX92-BX91)/AM91),0.000000000001)</f>
        <v>2.9986327406272419E-2</v>
      </c>
      <c r="BZ92" s="322">
        <f>BH92*intermediates!$B$49*1000000</f>
        <v>0</v>
      </c>
      <c r="CA92" s="322">
        <f>BI92*conversions!$C$1*1000000*intermediates!$B$50</f>
        <v>0</v>
      </c>
      <c r="CB92" s="322">
        <f>BT92*1000000*intermediates!$B$49</f>
        <v>0</v>
      </c>
      <c r="CC92" s="214">
        <f>BW92*conversions!$C$1*1000000/L92</f>
        <v>23344.254542576356</v>
      </c>
      <c r="CD92" s="173">
        <f t="shared" si="100"/>
        <v>2036</v>
      </c>
      <c r="CE92" s="173"/>
      <c r="CF92" s="173"/>
      <c r="CG92" s="173"/>
      <c r="CH92" s="173"/>
      <c r="CI92" s="173">
        <f t="shared" si="155"/>
        <v>8433.6935245675395</v>
      </c>
      <c r="CJ92" s="173">
        <f t="shared" si="156"/>
        <v>1373.5995946036833</v>
      </c>
      <c r="CK92" s="173">
        <f t="shared" si="157"/>
        <v>882.53661209015809</v>
      </c>
      <c r="CL92" s="173">
        <f t="shared" si="158"/>
        <v>1071.5150186479432</v>
      </c>
      <c r="CM92" s="173"/>
      <c r="CN92" s="173"/>
      <c r="CO92" s="329">
        <f t="shared" si="169"/>
        <v>6418.0886147037809</v>
      </c>
      <c r="CP92" s="174">
        <f t="shared" si="159"/>
        <v>28.998856161750183</v>
      </c>
      <c r="CQ92" s="228">
        <f t="shared" si="160"/>
        <v>5</v>
      </c>
      <c r="CR92" s="228">
        <f t="shared" si="170"/>
        <v>40</v>
      </c>
      <c r="CS92" s="214">
        <f t="shared" ca="1" si="161"/>
        <v>38.704164283210844</v>
      </c>
      <c r="CT92" s="190">
        <f t="shared" ca="1" si="162"/>
        <v>4.2600095460952474</v>
      </c>
      <c r="CU92" s="190">
        <f t="shared" ca="1" si="187"/>
        <v>38.704164283210844</v>
      </c>
      <c r="CV92" s="198">
        <f t="shared" si="174"/>
        <v>2969.0428279883472</v>
      </c>
      <c r="CW92" s="198">
        <f t="shared" ca="1" si="171"/>
        <v>3086.3314116158299</v>
      </c>
      <c r="CX92" s="198">
        <f t="shared" ca="1" si="172"/>
        <v>3044.7524089329418</v>
      </c>
      <c r="CY92" s="198">
        <f t="shared" ca="1" si="173"/>
        <v>-41.579002682889822</v>
      </c>
      <c r="CZ92" s="199">
        <f ca="1">IF(CX92&lt;intermediates!$B$55,intermediates!$B$56+(CX92-intermediates!$B$55)*intermediates!$B$53,intermediates!$B$56+(data!CX92-intermediates!$B$55)*intermediates!$B$58)</f>
        <v>1.6248271956472164</v>
      </c>
      <c r="DG92" s="201">
        <f>IF(A92&gt;MAX(intermediates!B$31,intermediates!$B$32),DG91,DG91+intermediates!$B$60*DG$73)</f>
        <v>17008555413750</v>
      </c>
      <c r="DH92" s="201">
        <f>IF(A92&gt;MAX(intermediates!B$31,intermediates!$B$32),DH91,DH91+intermediates!$B$61*DH$73)</f>
        <v>31183609955625</v>
      </c>
      <c r="DI92" s="201">
        <f>IF(A92&gt;MAX(intermediates!B$31,intermediates!$B$32),DI91,DI91+intermediates!$B$62*DI$73)</f>
        <v>39517445687000</v>
      </c>
      <c r="DJ92" s="221"/>
      <c r="EE92" s="218"/>
      <c r="EF92" s="212">
        <f>$EF$69+intermediates!$B$90*(A92-2013)*intermediates!$B$92+intermediates!$B$91*intermediates!$B$92*(A92-2013)^2</f>
        <v>2950.602158549219</v>
      </c>
      <c r="EH92" s="212">
        <f>IF(A92&lt;intermediates!$B$29,data!EH91,IF(A92&lt;intermediates!$B$31,data!$EH$69+(intermediates!$B$93-data!$EH$69)*(data!A92-intermediates!$B$29)/(intermediates!$B$31-intermediates!$B$29),intermediates!$B$93))</f>
        <v>0.10005574550166522</v>
      </c>
      <c r="EI92" s="212">
        <f t="shared" si="128"/>
        <v>0.10005574550166522</v>
      </c>
      <c r="EN92" s="218"/>
      <c r="EO92" s="212">
        <f t="shared" si="129"/>
        <v>2655.3774598967543</v>
      </c>
      <c r="EQ92" s="212">
        <f t="shared" si="130"/>
        <v>295.22469865246467</v>
      </c>
      <c r="ET92" s="214">
        <f>IF(A92&lt;intermediates!$B$29,ET91+intermediates!$B$63,ET91+intermediates!$B$63*intermediates!$B$67)</f>
        <v>1015.1901187374148</v>
      </c>
      <c r="EU92" s="215">
        <f t="shared" si="131"/>
        <v>1015.1901187374148</v>
      </c>
      <c r="EV92" s="216">
        <f>data!EU92*conversions!$C$13</f>
        <v>1.1806661080916134</v>
      </c>
      <c r="EX92" s="212">
        <f>intermediates!$B$64+intermediates!$B$64*(EXP(-(data!A92-intermediates!$B$66)/intermediates!$B$65)-1)</f>
        <v>1.4265547367129473E-2</v>
      </c>
      <c r="EY92" s="217">
        <f>IF(A92&lt;intermediates!$B$29,data!EX92,data!EY91+(data!EX92-data!EX91)*intermediates!$B$68)</f>
        <v>1.4265547367129473E-2</v>
      </c>
      <c r="EZ92" s="217">
        <f t="shared" si="132"/>
        <v>1.4265547367129473E-2</v>
      </c>
      <c r="FB92" s="212">
        <f>intermediates!$B$94+intermediates!$B$95+(intermediates!$B$95*(EXP(-(data!A92-intermediates!$B$97)/intermediates!$B$96)-1))</f>
        <v>1.6864521271658139</v>
      </c>
      <c r="FC92" s="217">
        <f>IF(A92&lt;intermediates!$B$29,data!FB92,data!FC91+(data!FB92-data!FB91)*intermediates!$B$68)</f>
        <v>1.6864521271658139</v>
      </c>
      <c r="FD92" s="212">
        <f t="shared" si="133"/>
        <v>1.6864521271658139</v>
      </c>
      <c r="FF92" s="184">
        <f>intermediates!$B$98+intermediates!$B$99*EXP(-(A92-intermediates!$B$101)/intermediates!$B$100)</f>
        <v>0.88050619476861025</v>
      </c>
      <c r="FG92" s="184">
        <f t="shared" si="101"/>
        <v>0.88050619476861025</v>
      </c>
      <c r="FI92" s="184">
        <f>intermediates!$B$102+intermediates!$B$103*EXP(-(A92-intermediates!$B$105)/intermediates!$B$104)</f>
        <v>1.9857905774720873E-2</v>
      </c>
      <c r="FJ92" s="184">
        <f t="shared" si="134"/>
        <v>1.9857905774720873E-2</v>
      </c>
      <c r="FL92" s="184">
        <f>intermediates!$B$106</f>
        <v>4.5616870531049965E-2</v>
      </c>
      <c r="FM92" s="184">
        <f t="shared" si="135"/>
        <v>4.5616870531049965E-2</v>
      </c>
      <c r="FN92" s="218">
        <f>IF(A92&lt;intermediates!$B$29,0,IF(A92&lt;intermediates!$B$31,(data!A92-intermediates!$B$29)/(intermediates!$B$31-intermediates!$B$29),1))</f>
        <v>0.5</v>
      </c>
      <c r="FO92" s="218">
        <f t="shared" si="176"/>
        <v>979022503685861.38</v>
      </c>
      <c r="FP92" s="218">
        <f t="shared" si="177"/>
        <v>1111885991833527.5</v>
      </c>
      <c r="FQ92" s="218">
        <f t="shared" si="178"/>
        <v>15861662283348.92</v>
      </c>
      <c r="FR92" s="218">
        <f t="shared" si="179"/>
        <v>1875142496093523.3</v>
      </c>
      <c r="FS92" s="218">
        <f t="shared" si="180"/>
        <v>1847085054793.1116</v>
      </c>
      <c r="FT92" s="218">
        <f>intermediates!$B$69*data!EU92/intermediates!$B$71</f>
        <v>2.5839977083972743</v>
      </c>
      <c r="FU92" s="218">
        <f>BC92*conversions!$C$1*1000000</f>
        <v>10296260474385.178</v>
      </c>
      <c r="FV92" s="218">
        <f t="shared" si="184"/>
        <v>3984624460356.5991</v>
      </c>
      <c r="FX92" s="221"/>
      <c r="FY92" s="221"/>
      <c r="FZ92" s="221"/>
      <c r="GA92" s="218">
        <f t="shared" si="102"/>
        <v>678.8909688826393</v>
      </c>
      <c r="GB92" s="218">
        <f>GA92*1000000*10000*intermediates!$B$71/(intermediates!$B$72*data!EU92)</f>
        <v>3284111701591.4536</v>
      </c>
      <c r="GC92" s="218">
        <f t="shared" si="181"/>
        <v>8673989040339.0859</v>
      </c>
      <c r="GD92" s="218">
        <f t="shared" si="144"/>
        <v>17789810257080.25</v>
      </c>
      <c r="GE92" s="218">
        <f t="shared" si="182"/>
        <v>19036201277431.719</v>
      </c>
      <c r="GF92" s="218">
        <f t="shared" si="183"/>
        <v>378019091275.86017</v>
      </c>
      <c r="GG92" s="218">
        <f t="shared" si="136"/>
        <v>868371929075.61072</v>
      </c>
      <c r="GH92" s="218">
        <f t="shared" si="103"/>
        <v>9638362595219.0977</v>
      </c>
      <c r="GI92" s="218">
        <f t="shared" si="145"/>
        <v>882711499913.09961</v>
      </c>
      <c r="GJ92" s="218">
        <f>ET92*intermediates!$B$73/intermediates!$B$71</f>
        <v>3.8759965625959119</v>
      </c>
      <c r="GK92" s="218">
        <f>CL92*conversions!$C$1*1000000/data!GJ92</f>
        <v>3225237264534.6821</v>
      </c>
      <c r="GL92" s="218">
        <f>MIN(1,FN92)*(intermediates!$B$75-data!$GL$69)+data!$GL$69</f>
        <v>0.52011767667847963</v>
      </c>
      <c r="GM92" s="218">
        <f>GL92*intermediates!$B$74*(FS92+GC92+GK92+GG92+GF92+GB92+FV92)</f>
        <v>1736785154095.2488</v>
      </c>
      <c r="GN92" s="218">
        <f>MIN(1,FN92)*intermediates!$B$76</f>
        <v>0.06</v>
      </c>
      <c r="GO92" s="218">
        <f t="shared" si="137"/>
        <v>1439893421763.699</v>
      </c>
      <c r="GP92" s="218">
        <f>IF(A92&gt;intermediates!$B$29,MIN(1,(A92-intermediates!$B$29)/(intermediates!$B$31-intermediates!$B$29))*intermediates!$B$77,0)</f>
        <v>7.4999999999999997E-2</v>
      </c>
      <c r="GQ92" s="218">
        <f>IF(AND(A92&gt;intermediates!$B$29+intermediates!$B$30,data!GP92&lt;intermediates!$B$77),1,0)</f>
        <v>0</v>
      </c>
      <c r="GR92" s="218">
        <f t="shared" si="104"/>
        <v>3614412402703.125</v>
      </c>
      <c r="GS92" s="218">
        <f t="shared" si="105"/>
        <v>44914191803877.391</v>
      </c>
      <c r="GT92" s="218">
        <f t="shared" si="97"/>
        <v>87709611056375</v>
      </c>
      <c r="GU92" s="218">
        <f t="shared" si="106"/>
        <v>43131858089703.125</v>
      </c>
      <c r="GV92" s="218">
        <f t="shared" si="107"/>
        <v>23998223696061.652</v>
      </c>
      <c r="GW92" s="218">
        <f t="shared" si="108"/>
        <v>3277973565497.6094</v>
      </c>
      <c r="GX92" s="218">
        <f>MIN(intermediates!$B$88,FN92*intermediates!$B$87*GO92)</f>
        <v>359973355440.92474</v>
      </c>
      <c r="GY92" s="218">
        <f t="shared" si="109"/>
        <v>1079920066322.7742</v>
      </c>
      <c r="GZ92" s="218">
        <f>MIN(intermediates!$B$88-GX92,intermediates!$B$87*data!GW92*FN92)</f>
        <v>819493391374.40234</v>
      </c>
      <c r="HA92" s="218">
        <f t="shared" si="138"/>
        <v>2458480174123.207</v>
      </c>
      <c r="HB92" s="218">
        <f t="shared" si="139"/>
        <v>1179466746815.3271</v>
      </c>
      <c r="HC92" s="218">
        <f t="shared" si="110"/>
        <v>19400062523794.898</v>
      </c>
      <c r="HD92" s="218">
        <f>HC92*intermediates!$B$79/(10000*1000000000)</f>
        <v>1287.6637159018053</v>
      </c>
      <c r="HE92" s="218">
        <f>(GV92*intermediates!$B$80+GV92*GL92*intermediates!$B$82)/(10000*1000000000)</f>
        <v>811.3881708404964</v>
      </c>
      <c r="HF92" s="218">
        <f>GU92*intermediates!$B$78/(10000*1000000000)</f>
        <v>4343.3501787329424</v>
      </c>
      <c r="HG92" s="218">
        <f>HB92*intermediates!$B$81/(10000*1000000000)</f>
        <v>296.47490046927186</v>
      </c>
      <c r="HH92" s="218">
        <f t="shared" si="111"/>
        <v>21.721301040941398</v>
      </c>
      <c r="HI92" s="218">
        <f t="shared" si="112"/>
        <v>24.272008339896331</v>
      </c>
      <c r="HJ92" s="218">
        <f t="shared" si="113"/>
        <v>-37.479686992680627</v>
      </c>
      <c r="HK92" s="218">
        <f ca="1">SUM(HJ92:INDIRECT(ADDRESS(MAX(CELL("row",HJ92)-intermediates!$B$83,69),CELL("col",HJ92))))/intermediates!$B$83+SUM(HH92:INDIRECT(ADDRESS(MAX(CELL("row",HH92)-intermediates!$B$84,69),CELL("col",HH92))))/intermediates!$B$84+SUM(HI92:INDIRECT(ADDRESS(MAX(CELL("row",HI92)-intermediates!$B$85,69),CELL("col",HI92))))/intermediates!$B$85</f>
        <v>-14.705308121460664</v>
      </c>
      <c r="HL92" s="218">
        <f t="shared" ca="1" si="163"/>
        <v>-115.70958094459328</v>
      </c>
      <c r="HM92" s="188">
        <f t="shared" si="114"/>
        <v>2036</v>
      </c>
      <c r="HQ92" s="185">
        <f t="shared" si="115"/>
        <v>1198.0404477907682</v>
      </c>
      <c r="HR92" s="185">
        <f t="shared" si="116"/>
        <v>438.57136701145561</v>
      </c>
      <c r="HS92" s="185">
        <f t="shared" si="117"/>
        <v>361.46878400088468</v>
      </c>
      <c r="HT92" s="185">
        <f t="shared" si="118"/>
        <v>354.98871477506174</v>
      </c>
      <c r="HU92" s="185">
        <f t="shared" si="119"/>
        <v>191.16086015508398</v>
      </c>
      <c r="HV92" s="185">
        <f t="shared" si="120"/>
        <v>158.48319775590417</v>
      </c>
      <c r="HW92" s="185">
        <f t="shared" si="121"/>
        <v>397.82363536833924</v>
      </c>
      <c r="HX92" s="185">
        <f t="shared" si="122"/>
        <v>97.156455531815553</v>
      </c>
      <c r="HY92" s="185">
        <f t="shared" si="123"/>
        <v>1745.8284914658734</v>
      </c>
      <c r="HZ92" s="185">
        <f t="shared" si="140"/>
        <v>3100.5370068574975</v>
      </c>
      <c r="IA92" s="185">
        <f t="shared" si="141"/>
        <v>4943.5219538551864</v>
      </c>
      <c r="IB92" s="185">
        <f t="shared" si="124"/>
        <v>2278.7386698681694</v>
      </c>
      <c r="IC92" s="185">
        <f t="shared" si="175"/>
        <v>5304.315138244523</v>
      </c>
      <c r="ID92" s="185">
        <f t="shared" si="125"/>
        <v>4349.524114048505</v>
      </c>
      <c r="IE92" s="184">
        <f t="shared" si="142"/>
        <v>-0.5066710917337035</v>
      </c>
      <c r="IF92" s="184">
        <f t="shared" si="143"/>
        <v>-8.2950036585384732E-2</v>
      </c>
    </row>
    <row r="93" spans="1:240" x14ac:dyDescent="0.3">
      <c r="A93" s="184">
        <v>2037</v>
      </c>
      <c r="E93" s="207">
        <v>8624178.3110000007</v>
      </c>
      <c r="F93" s="207">
        <v>9015437.6160000004</v>
      </c>
      <c r="G93" s="207">
        <v>9406793.3019999899</v>
      </c>
      <c r="I93" s="207">
        <f t="shared" si="164"/>
        <v>8624178311</v>
      </c>
      <c r="J93" s="207">
        <f t="shared" si="164"/>
        <v>9015437616</v>
      </c>
      <c r="K93" s="207">
        <f t="shared" si="164"/>
        <v>9406793301.9999905</v>
      </c>
      <c r="L93" s="187">
        <f>IF(intermediates!$B$4&gt;=2,(intermediates!$B$4-2)*K93+(1-(intermediates!$B$4-2))*J93,(intermediates!$B$4-1)*J93+(1-(intermediates!$B$4-1))*I93)</f>
        <v>9159949404.2184868</v>
      </c>
      <c r="AJ93" s="184">
        <f>IF(intermediates!$B$46=0,$AJ$74+(intermediates!$B$15-$AJ$74)*MIN(1,(data!A93-data!$A$74)/(intermediates!$B$32-data!$A$74)),IF(A93&lt;2021,$AJ$74+(intermediates!$B$15-$AJ$74)*MIN(1,(data!A93-data!$A$74)/(intermediates!$B$32-data!$A$74)),intermediates!$B$47+(intermediates!$B$15-intermediates!$B$47)*MIN(1,(data!A93-$A$77)/(intermediates!$B$32-$A$77))))</f>
        <v>23463.541173677047</v>
      </c>
      <c r="AK93" s="192">
        <f t="shared" si="146"/>
        <v>23463.541173677047</v>
      </c>
      <c r="AL93" s="192">
        <f t="shared" si="185"/>
        <v>214924849994679</v>
      </c>
      <c r="AM93" s="192">
        <f>data!AL93/(1000000*conversions!$C$1)</f>
        <v>18422.129999543915</v>
      </c>
      <c r="AN93" s="192">
        <f>IF(intermediates!$B$13=1,($AJ$74+(27400-$AJ$74)*MIN(1,(data!A93-data!$A$74)/(intermediates!$B$32-data!$A$74)))*L93/(1000000*conversions!$C$1),data!AM93)</f>
        <v>18422.129999543915</v>
      </c>
      <c r="AV93" s="214">
        <f>IF(A93&lt;intermediates!$B$29,0,IF(A93&lt;intermediates!$B$31,(data!A93-intermediates!$B$29)*intermediates!$B$26/(intermediates!$B$31-intermediates!$B$29),intermediates!$B$26))</f>
        <v>5.333333333333333</v>
      </c>
      <c r="AW93" s="212">
        <f>MIN(AW92+intermediates!$B$16,intermediates!$B$17*data!$AW$74)</f>
        <v>1397.1998557908926</v>
      </c>
      <c r="AX93" s="212">
        <f>AV93*1000/conversions!$C$16/intermediates!$B$40</f>
        <v>4366.4311982966838</v>
      </c>
      <c r="AY93" s="212">
        <f>AX93*(1-intermediates!$B$39)*intermediates!$B$28/(conversions!$C$2)</f>
        <v>1142.9493532244726</v>
      </c>
      <c r="AZ93" s="213">
        <f>IF(A93&lt;intermediates!$B$29,0,MIN(intermediates!$B$25,intermediates!$B$25*(A93-intermediates!$B$29)/(intermediates!$B$31-intermediates!$B$29)))</f>
        <v>0</v>
      </c>
      <c r="BA93" s="212">
        <f>IF(A93&lt;intermediates!$B$29,data!$BA$74,IF(intermediates!$B$23&gt;data!$BA$74,MIN(intermediates!$B$23,data!$BA$74+(intermediates!$B$23-data!$BA$74)*((data!A93-intermediates!$B$29)/(intermediates!$B$31-intermediates!$B$29))),MAX(intermediates!$B$23,data!$BA$74+(intermediates!$B$23-data!$BA$74)*((data!A93-intermediates!$B$29)/(intermediates!$B$31-intermediates!$B$29)))))</f>
        <v>5.0642822437332369E-2</v>
      </c>
      <c r="BB93" s="212">
        <f t="shared" si="147"/>
        <v>932.94865848435632</v>
      </c>
      <c r="BC93" s="212">
        <f t="shared" si="166"/>
        <v>932.94865848435632</v>
      </c>
      <c r="BD93" s="212">
        <f t="shared" si="167"/>
        <v>0</v>
      </c>
      <c r="BE93" s="214">
        <f>MAX(0,MIN(1,(data!A93-intermediates!$B$29)/(intermediates!$B$31-intermediates!$B$29)))*((intermediates!$B$38*L93)-$BE$69*1000000000)/1000000000+$BE$69</f>
        <v>714.30945207653008</v>
      </c>
      <c r="BF93" s="214">
        <f t="shared" si="99"/>
        <v>714.30945207653008</v>
      </c>
      <c r="BG93" s="214">
        <f t="shared" si="168"/>
        <v>0</v>
      </c>
      <c r="BH93" s="214">
        <f>BD93*conversions!$C$2/conversions!$C$17+BG93*conversions!$C$6/conversions!$C$10</f>
        <v>0</v>
      </c>
      <c r="BI93" s="214">
        <f>BH93*intermediates!$B$41*conversions!$C$11/(conversions!$C$2*conversions!$C$6*intermediates!$B$42)</f>
        <v>0</v>
      </c>
      <c r="BJ93" s="214">
        <f>BH93*intermediates!$B$43/(conversions!$C$1*intermediates!$B$42)</f>
        <v>0</v>
      </c>
      <c r="BK93" s="214">
        <f t="shared" si="148"/>
        <v>0</v>
      </c>
      <c r="BL93" s="214">
        <f t="shared" si="149"/>
        <v>18422.129999543915</v>
      </c>
      <c r="BM93" s="214">
        <f t="shared" si="150"/>
        <v>14949.032132044194</v>
      </c>
      <c r="BN93" s="214">
        <f>IF(A93&lt;intermediates!$B$29,MIN(BO92+intermediates!$B$33*AN92),MIN(BO92*intermediates!$B$35,BO92+intermediates!$B$37*AN92))</f>
        <v>6963.2230556355817</v>
      </c>
      <c r="BO93" s="212">
        <f>IF(A93&lt;intermediates!$B$29,MIN(BM93,BO92+intermediates!$B$33*AN92),MIN(BM93,BO92*intermediates!$B$35,BO92+intermediates!$B$37*AN92))</f>
        <v>6963.2230556355817</v>
      </c>
      <c r="BP93" s="214">
        <f t="shared" si="151"/>
        <v>0</v>
      </c>
      <c r="BQ93" s="214">
        <f t="shared" si="152"/>
        <v>7985.8090764086119</v>
      </c>
      <c r="BR93" s="212" t="str">
        <f t="shared" si="186"/>
        <v/>
      </c>
      <c r="BS93" s="212">
        <f>BP93*conversions!$C$1*intermediates!$B$42/intermediates!$B$43</f>
        <v>0</v>
      </c>
      <c r="BT93" s="214">
        <f>MIN(BT92+BS93,intermediates!$B$27*1000)</f>
        <v>0</v>
      </c>
      <c r="BU93" s="219" t="str">
        <f>IF(AND(BT93=intermediates!$B$27*1000,BT92&lt;&gt;intermediates!$B$27*1000),A93,"")</f>
        <v/>
      </c>
      <c r="BV93" s="212">
        <f>BT93*intermediates!$B$43/(conversions!$C$1*intermediates!$B$42)</f>
        <v>0</v>
      </c>
      <c r="BW93" s="214">
        <f t="shared" si="153"/>
        <v>18422.129999543915</v>
      </c>
      <c r="BX93" s="214">
        <f t="shared" si="154"/>
        <v>6963.2230556355817</v>
      </c>
      <c r="BY93" s="227">
        <f>IF(OR(BQ93&gt;0,BT93&lt;&gt;intermediates!$B$27*1000),MAX(0,(BX93-BX92)/AM92),0.000000000001)</f>
        <v>2.9986327406272398E-2</v>
      </c>
      <c r="BZ93" s="322">
        <f>BH93*intermediates!$B$49*1000000</f>
        <v>0</v>
      </c>
      <c r="CA93" s="322">
        <f>BI93*conversions!$C$1*1000000*intermediates!$B$50</f>
        <v>0</v>
      </c>
      <c r="CB93" s="322">
        <f>BT93*1000000*intermediates!$B$49</f>
        <v>0</v>
      </c>
      <c r="CC93" s="214">
        <f>BW93*conversions!$C$1*1000000/L93</f>
        <v>23463.541173677047</v>
      </c>
      <c r="CD93" s="173">
        <f t="shared" si="100"/>
        <v>2037</v>
      </c>
      <c r="CE93" s="173"/>
      <c r="CF93" s="173"/>
      <c r="CG93" s="173"/>
      <c r="CH93" s="173"/>
      <c r="CI93" s="173">
        <f t="shared" si="155"/>
        <v>7985.8090764086119</v>
      </c>
      <c r="CJ93" s="173">
        <f t="shared" si="156"/>
        <v>1397.1998557908926</v>
      </c>
      <c r="CK93" s="173">
        <f t="shared" si="157"/>
        <v>932.94865848435632</v>
      </c>
      <c r="CL93" s="173">
        <f t="shared" si="158"/>
        <v>1142.9493532244726</v>
      </c>
      <c r="CM93" s="173"/>
      <c r="CN93" s="173"/>
      <c r="CO93" s="329">
        <f t="shared" si="169"/>
        <v>6963.2230556355817</v>
      </c>
      <c r="CP93" s="174">
        <f t="shared" si="159"/>
        <v>27.458826677466593</v>
      </c>
      <c r="CQ93" s="228">
        <f t="shared" si="160"/>
        <v>5.333333333333333</v>
      </c>
      <c r="CR93" s="228">
        <f t="shared" si="170"/>
        <v>45.333333333333336</v>
      </c>
      <c r="CS93" s="214">
        <f t="shared" ca="1" si="161"/>
        <v>37.762574015387088</v>
      </c>
      <c r="CT93" s="190">
        <f t="shared" ca="1" si="162"/>
        <v>4.1225745196797767</v>
      </c>
      <c r="CU93" s="190">
        <f t="shared" ca="1" si="187"/>
        <v>37.762574015387088</v>
      </c>
      <c r="CV93" s="198">
        <f t="shared" si="174"/>
        <v>2996.5016546658139</v>
      </c>
      <c r="CW93" s="198">
        <f t="shared" ca="1" si="171"/>
        <v>3129.4273189645505</v>
      </c>
      <c r="CX93" s="198">
        <f t="shared" ca="1" si="172"/>
        <v>3082.5149829483289</v>
      </c>
      <c r="CY93" s="198">
        <f t="shared" ca="1" si="173"/>
        <v>-46.912336016223158</v>
      </c>
      <c r="CZ93" s="199">
        <f ca="1">IF(CX93&lt;intermediates!$B$55,intermediates!$B$56+(CX93-intermediates!$B$55)*intermediates!$B$53,intermediates!$B$56+(data!CX93-intermediates!$B$55)*intermediates!$B$58)</f>
        <v>1.6453624719814037</v>
      </c>
      <c r="DG93" s="201">
        <f>IF(A93&gt;MAX(intermediates!B$31,intermediates!$B$32),DG92,DG92+intermediates!$B$60*DG$73)</f>
        <v>17081986355000</v>
      </c>
      <c r="DH93" s="201">
        <f>IF(A93&gt;MAX(intermediates!B$31,intermediates!$B$32),DH92,DH92+intermediates!$B$61*DH$73)</f>
        <v>31105682672500</v>
      </c>
      <c r="DI93" s="201">
        <f>IF(A93&gt;MAX(intermediates!B$31,intermediates!$B$32),DI92,DI92+intermediates!$B$62*DI$73)</f>
        <v>39492504080000</v>
      </c>
      <c r="DJ93" s="221"/>
      <c r="EE93" s="218"/>
      <c r="EF93" s="212">
        <f>$EF$69+intermediates!$B$90*(A93-2013)*intermediates!$B$92+intermediates!$B$91*intermediates!$B$92*(A93-2013)^2</f>
        <v>2956.6604485492185</v>
      </c>
      <c r="EH93" s="212">
        <f>IF(A93&lt;intermediates!$B$29,data!EH92,IF(A93&lt;intermediates!$B$31,data!$EH$69+(intermediates!$B$93-data!$EH$69)*(data!A93-intermediates!$B$29)/(intermediates!$B$31-intermediates!$B$29),intermediates!$B$93))</f>
        <v>9.5066837364947851E-2</v>
      </c>
      <c r="EI93" s="212">
        <f t="shared" si="128"/>
        <v>9.5066837364947851E-2</v>
      </c>
      <c r="EN93" s="218"/>
      <c r="EO93" s="212">
        <f t="shared" si="129"/>
        <v>2675.5800905436163</v>
      </c>
      <c r="EQ93" s="212">
        <f t="shared" si="130"/>
        <v>281.08035800560219</v>
      </c>
      <c r="ET93" s="214">
        <f>IF(A93&lt;intermediates!$B$29,ET92+intermediates!$B$63,ET92+intermediates!$B$63*intermediates!$B$67)</f>
        <v>1025.1657081288574</v>
      </c>
      <c r="EU93" s="215">
        <f t="shared" si="131"/>
        <v>1025.1657081288574</v>
      </c>
      <c r="EV93" s="216">
        <f>data!EU93*conversions!$C$13</f>
        <v>1.1922677185538613</v>
      </c>
      <c r="EX93" s="212">
        <f>intermediates!$B$64+intermediates!$B$64*(EXP(-(data!A93-intermediates!$B$66)/intermediates!$B$65)-1)</f>
        <v>1.4000343901400579E-2</v>
      </c>
      <c r="EY93" s="217">
        <f>IF(A93&lt;intermediates!$B$29,data!EX93,data!EY92+(data!EX93-data!EX92)*intermediates!$B$68)</f>
        <v>1.4000343901400579E-2</v>
      </c>
      <c r="EZ93" s="217">
        <f t="shared" si="132"/>
        <v>1.4000343901400579E-2</v>
      </c>
      <c r="FB93" s="212">
        <f>intermediates!$B$94+intermediates!$B$95+(intermediates!$B$95*(EXP(-(data!A93-intermediates!$B$97)/intermediates!$B$96)-1))</f>
        <v>1.6813674921694459</v>
      </c>
      <c r="FC93" s="217">
        <f>IF(A93&lt;intermediates!$B$29,data!FB93,data!FC92+(data!FB93-data!FB92)*intermediates!$B$68)</f>
        <v>1.6813674921694459</v>
      </c>
      <c r="FD93" s="212">
        <f t="shared" si="133"/>
        <v>1.6813674921694459</v>
      </c>
      <c r="FF93" s="184">
        <f>intermediates!$B$98+intermediates!$B$99*EXP(-(A93-intermediates!$B$101)/intermediates!$B$100)</f>
        <v>0.88115154135985785</v>
      </c>
      <c r="FG93" s="184">
        <f t="shared" si="101"/>
        <v>0.88115154135985785</v>
      </c>
      <c r="FI93" s="184">
        <f>intermediates!$B$102+intermediates!$B$103*EXP(-(A93-intermediates!$B$105)/intermediates!$B$104)</f>
        <v>1.9667660341889135E-2</v>
      </c>
      <c r="FJ93" s="184">
        <f t="shared" si="134"/>
        <v>1.9667660341889135E-2</v>
      </c>
      <c r="FL93" s="184">
        <f>intermediates!$B$106</f>
        <v>4.5616870531049965E-2</v>
      </c>
      <c r="FM93" s="184">
        <f t="shared" si="135"/>
        <v>4.5616870531049965E-2</v>
      </c>
      <c r="FN93" s="218">
        <f>IF(A93&lt;intermediates!$B$29,0,IF(A93&lt;intermediates!$B$31,(data!A93-intermediates!$B$29)/(intermediates!$B$31-intermediates!$B$29),1))</f>
        <v>0.53333333333333333</v>
      </c>
      <c r="FO93" s="218">
        <f t="shared" si="176"/>
        <v>939758878115591.13</v>
      </c>
      <c r="FP93" s="218">
        <f t="shared" si="177"/>
        <v>1066512210448257.4</v>
      </c>
      <c r="FQ93" s="218">
        <f t="shared" si="178"/>
        <v>14931537721318.512</v>
      </c>
      <c r="FR93" s="218">
        <f t="shared" si="179"/>
        <v>1793198960649478.8</v>
      </c>
      <c r="FS93" s="218">
        <f t="shared" si="180"/>
        <v>1749179616944.5066</v>
      </c>
      <c r="FT93" s="218">
        <f>intermediates!$B$69*data!EU93/intermediates!$B$71</f>
        <v>2.609388913110199</v>
      </c>
      <c r="FU93" s="218">
        <f>BC93*conversions!$C$1*1000000</f>
        <v>10884401015650.824</v>
      </c>
      <c r="FV93" s="218">
        <f t="shared" si="184"/>
        <v>4171245214143.8057</v>
      </c>
      <c r="FX93" s="221"/>
      <c r="FY93" s="221"/>
      <c r="FZ93" s="221"/>
      <c r="GA93" s="218">
        <f t="shared" si="102"/>
        <v>714.30945207653008</v>
      </c>
      <c r="GB93" s="218">
        <f>GA93*1000000*10000*intermediates!$B$71/(intermediates!$B$72*data!EU93)</f>
        <v>3421823441532.9346</v>
      </c>
      <c r="GC93" s="218">
        <f t="shared" si="181"/>
        <v>8725891816925.8125</v>
      </c>
      <c r="GD93" s="218">
        <f t="shared" si="144"/>
        <v>18068140089547.059</v>
      </c>
      <c r="GE93" s="218">
        <f t="shared" si="182"/>
        <v>19330096362287.719</v>
      </c>
      <c r="GF93" s="218">
        <f t="shared" si="183"/>
        <v>380177769629.46161</v>
      </c>
      <c r="GG93" s="218">
        <f t="shared" si="136"/>
        <v>881778503111.19873</v>
      </c>
      <c r="GH93" s="218">
        <f t="shared" si="103"/>
        <v>9642581548804.2305</v>
      </c>
      <c r="GI93" s="218">
        <f t="shared" si="145"/>
        <v>832489885066.08789</v>
      </c>
      <c r="GJ93" s="218">
        <f>ET93*intermediates!$B$73/intermediates!$B$71</f>
        <v>3.9140833696652981</v>
      </c>
      <c r="GK93" s="218">
        <f>CL93*conversions!$C$1*1000000/data!GJ93</f>
        <v>3406776979840.4766</v>
      </c>
      <c r="GL93" s="218">
        <f>MIN(1,FN93)*(intermediates!$B$75-data!$GL$69)+data!$GL$69</f>
        <v>0.552109831566581</v>
      </c>
      <c r="GM93" s="218">
        <f>GL93*intermediates!$B$74*(FS93+GC93+GK93+GG93+GF93+GB93+FV93)</f>
        <v>1882987696690.9624</v>
      </c>
      <c r="GN93" s="218">
        <f>MIN(1,FN93)*intermediates!$B$76</f>
        <v>6.4000000000000001E-2</v>
      </c>
      <c r="GO93" s="218">
        <f t="shared" si="137"/>
        <v>1575671106484.4263</v>
      </c>
      <c r="GP93" s="218">
        <f>IF(A93&gt;intermediates!$B$29,MIN(1,(A93-intermediates!$B$29)/(intermediates!$B$31-intermediates!$B$29))*intermediates!$B$77,0)</f>
        <v>0.08</v>
      </c>
      <c r="GQ93" s="218">
        <f>IF(AND(A93&gt;intermediates!$B$29+intermediates!$B$30,data!GP93&lt;intermediates!$B$77),1,0)</f>
        <v>0</v>
      </c>
      <c r="GR93" s="218">
        <f t="shared" si="104"/>
        <v>3855013522200</v>
      </c>
      <c r="GS93" s="218">
        <f t="shared" si="105"/>
        <v>44982083388822.094</v>
      </c>
      <c r="GT93" s="218">
        <f t="shared" si="97"/>
        <v>87680173107500</v>
      </c>
      <c r="GU93" s="218">
        <f t="shared" si="106"/>
        <v>43347517602200</v>
      </c>
      <c r="GV93" s="218">
        <f t="shared" si="107"/>
        <v>24619861038819.156</v>
      </c>
      <c r="GW93" s="218">
        <f t="shared" si="108"/>
        <v>3205585638677.9063</v>
      </c>
      <c r="GX93" s="218">
        <f>MIN(intermediates!$B$88,FN93*intermediates!$B$87*GO93)</f>
        <v>420178961729.18036</v>
      </c>
      <c r="GY93" s="218">
        <f t="shared" si="109"/>
        <v>1155492144755.2458</v>
      </c>
      <c r="GZ93" s="218">
        <f>MIN(intermediates!$B$88-GX93,intermediates!$B$87*data!GW93*FN93)</f>
        <v>854822836980.77502</v>
      </c>
      <c r="HA93" s="218">
        <f t="shared" si="138"/>
        <v>2350762801697.1313</v>
      </c>
      <c r="HB93" s="218">
        <f t="shared" si="139"/>
        <v>1275001798709.9553</v>
      </c>
      <c r="HC93" s="218">
        <f t="shared" si="110"/>
        <v>18437792667770.891</v>
      </c>
      <c r="HD93" s="218">
        <f>HC93*intermediates!$B$79/(10000*1000000000)</f>
        <v>1223.7938197616049</v>
      </c>
      <c r="HE93" s="218">
        <f>(GV93*intermediates!$B$80+GV93*GL93*intermediates!$B$82)/(10000*1000000000)</f>
        <v>838.10593531161385</v>
      </c>
      <c r="HF93" s="218">
        <f>GU93*intermediates!$B$78/(10000*1000000000)</f>
        <v>4365.0669519867324</v>
      </c>
      <c r="HG93" s="218">
        <f>HB93*intermediates!$B$81/(10000*1000000000)</f>
        <v>320.48892636551977</v>
      </c>
      <c r="HH93" s="218">
        <f t="shared" si="111"/>
        <v>21.716773253790052</v>
      </c>
      <c r="HI93" s="218">
        <f t="shared" si="112"/>
        <v>24.014025896247915</v>
      </c>
      <c r="HJ93" s="218">
        <f t="shared" si="113"/>
        <v>-37.152131669082905</v>
      </c>
      <c r="HK93" s="218">
        <f ca="1">SUM(HJ93:INDIRECT(ADDRESS(MAX(CELL("row",HJ93)-intermediates!$B$83,69),CELL("col",HJ93))))/intermediates!$B$83+SUM(HH93:INDIRECT(ADDRESS(MAX(CELL("row",HH93)-intermediates!$B$84,69),CELL("col",HH93))))/intermediates!$B$84+SUM(HI93:INDIRECT(ADDRESS(MAX(CELL("row",HI93)-intermediates!$B$85,69),CELL("col",HI93))))/intermediates!$B$85</f>
        <v>-15.637080671253823</v>
      </c>
      <c r="HL93" s="218">
        <f t="shared" ca="1" si="163"/>
        <v>-131.3466616158471</v>
      </c>
      <c r="HM93" s="188">
        <f t="shared" si="114"/>
        <v>2037</v>
      </c>
      <c r="HQ93" s="185">
        <f t="shared" si="115"/>
        <v>1190.4583028071047</v>
      </c>
      <c r="HR93" s="185">
        <f t="shared" si="116"/>
        <v>455.3786303909929</v>
      </c>
      <c r="HS93" s="185">
        <f t="shared" si="117"/>
        <v>373.56357448405356</v>
      </c>
      <c r="HT93" s="185">
        <f t="shared" si="118"/>
        <v>371.92093858853991</v>
      </c>
      <c r="HU93" s="185">
        <f t="shared" si="119"/>
        <v>205.56747789717906</v>
      </c>
      <c r="HV93" s="185">
        <f t="shared" si="120"/>
        <v>172.01744648925384</v>
      </c>
      <c r="HW93" s="185">
        <f t="shared" si="121"/>
        <v>420.85532922535873</v>
      </c>
      <c r="HX93" s="185">
        <f t="shared" si="122"/>
        <v>90.883677226720962</v>
      </c>
      <c r="HY93" s="185">
        <f t="shared" si="123"/>
        <v>1630.089541154234</v>
      </c>
      <c r="HZ93" s="185">
        <f t="shared" si="140"/>
        <v>3189.7616998824824</v>
      </c>
      <c r="IA93" s="185">
        <f t="shared" si="141"/>
        <v>4910.7349182634371</v>
      </c>
      <c r="IB93" s="185">
        <f t="shared" si="124"/>
        <v>2288.5766555948067</v>
      </c>
      <c r="IC93" s="185">
        <f t="shared" si="175"/>
        <v>5260.6916153169841</v>
      </c>
      <c r="ID93" s="185">
        <f t="shared" si="125"/>
        <v>4311.4325568012719</v>
      </c>
      <c r="IE93" s="184">
        <f t="shared" si="142"/>
        <v>-0.4803345264366054</v>
      </c>
      <c r="IF93" s="184">
        <f t="shared" si="143"/>
        <v>-8.1169470342633887E-2</v>
      </c>
    </row>
    <row r="94" spans="1:240" x14ac:dyDescent="0.3">
      <c r="A94" s="211">
        <v>2038</v>
      </c>
      <c r="E94" s="207">
        <v>8656382.1980000008</v>
      </c>
      <c r="F94" s="207">
        <v>9077693.6450000107</v>
      </c>
      <c r="G94" s="207">
        <v>9499252.9560000002</v>
      </c>
      <c r="I94" s="207">
        <f t="shared" si="164"/>
        <v>8656382198</v>
      </c>
      <c r="J94" s="207">
        <f t="shared" si="164"/>
        <v>9077693645.0000114</v>
      </c>
      <c r="K94" s="207">
        <f t="shared" si="164"/>
        <v>9499252956</v>
      </c>
      <c r="L94" s="187">
        <f>IF(intermediates!$B$4&gt;=2,(intermediates!$B$4-2)*K94+(1-(intermediates!$B$4-2))*J94,(intermediates!$B$4-1)*J94+(1-(intermediates!$B$4-1))*I94)</f>
        <v>9233358407.3940945</v>
      </c>
      <c r="AJ94" s="184">
        <f>IF(intermediates!$B$46=0,$AJ$74+(intermediates!$B$15-$AJ$74)*MIN(1,(data!A94-data!$A$74)/(intermediates!$B$32-data!$A$74)),IF(A94&lt;2021,$AJ$74+(intermediates!$B$15-$AJ$74)*MIN(1,(data!A94-data!$A$74)/(intermediates!$B$32-data!$A$74)),intermediates!$B$47+(intermediates!$B$15-intermediates!$B$47)*MIN(1,(data!A94-$A$77)/(intermediates!$B$32-$A$77))))</f>
        <v>23582.827804777746</v>
      </c>
      <c r="AK94" s="192">
        <f t="shared" si="146"/>
        <v>23582.827804777746</v>
      </c>
      <c r="AL94" s="192">
        <f t="shared" si="185"/>
        <v>217748701381371.81</v>
      </c>
      <c r="AM94" s="192">
        <f>data!AL94/(1000000*conversions!$C$1)</f>
        <v>18664.174404117584</v>
      </c>
      <c r="AN94" s="192">
        <f>IF(intermediates!$B$13=1,($AJ$74+(27400-$AJ$74)*MIN(1,(data!A94-data!$A$74)/(intermediates!$B$32-data!$A$74)))*L94/(1000000*conversions!$C$1),data!AM94)</f>
        <v>18664.174404117584</v>
      </c>
      <c r="AV94" s="214">
        <f>IF(A94&lt;intermediates!$B$29,0,IF(A94&lt;intermediates!$B$31,(data!A94-intermediates!$B$29)*intermediates!$B$26/(intermediates!$B$31-intermediates!$B$29),intermediates!$B$26))</f>
        <v>5.666666666666667</v>
      </c>
      <c r="AW94" s="212">
        <f>MIN(AW93+intermediates!$B$16,intermediates!$B$17*data!$AW$74)</f>
        <v>1420.8001169781019</v>
      </c>
      <c r="AX94" s="212">
        <f>AV94*1000/conversions!$C$16/intermediates!$B$40</f>
        <v>4639.3331481902269</v>
      </c>
      <c r="AY94" s="212">
        <f>AX94*(1-intermediates!$B$39)*intermediates!$B$28/(conversions!$C$2)</f>
        <v>1214.3836878010022</v>
      </c>
      <c r="AZ94" s="213">
        <f>IF(A94&lt;intermediates!$B$29,0,MIN(intermediates!$B$25,intermediates!$B$25*(A94-intermediates!$B$29)/(intermediates!$B$31-intermediates!$B$29)))</f>
        <v>0</v>
      </c>
      <c r="BA94" s="212">
        <f>IF(A94&lt;intermediates!$B$29,data!$BA$74,IF(intermediates!$B$23&gt;data!$BA$74,MIN(intermediates!$B$23,data!$BA$74+(intermediates!$B$23-data!$BA$74)*((data!A94-intermediates!$B$29)/(intermediates!$B$31-intermediates!$B$29))),MAX(intermediates!$B$23,data!$BA$74+(intermediates!$B$23-data!$BA$74)*((data!A94-intermediates!$B$29)/(intermediates!$B$31-intermediates!$B$29)))))</f>
        <v>5.2739763691808633E-2</v>
      </c>
      <c r="BB94" s="212">
        <f t="shared" si="147"/>
        <v>984.34414757586455</v>
      </c>
      <c r="BC94" s="212">
        <f t="shared" si="166"/>
        <v>984.34414757586455</v>
      </c>
      <c r="BD94" s="212">
        <f t="shared" si="167"/>
        <v>0</v>
      </c>
      <c r="BE94" s="214">
        <f>MAX(0,MIN(1,(data!A94-intermediates!$B$29)/(intermediates!$B$31-intermediates!$B$29)))*((intermediates!$B$38*L94)-$BE$69*1000000000)/1000000000+$BE$69</f>
        <v>750.2724152860485</v>
      </c>
      <c r="BF94" s="214">
        <f t="shared" si="99"/>
        <v>750.2724152860485</v>
      </c>
      <c r="BG94" s="214">
        <f t="shared" si="168"/>
        <v>0</v>
      </c>
      <c r="BH94" s="214">
        <f>BD94*conversions!$C$2/conversions!$C$17+BG94*conversions!$C$6/conversions!$C$10</f>
        <v>0</v>
      </c>
      <c r="BI94" s="214">
        <f>BH94*intermediates!$B$41*conversions!$C$11/(conversions!$C$2*conversions!$C$6*intermediates!$B$42)</f>
        <v>0</v>
      </c>
      <c r="BJ94" s="214">
        <f>BH94*intermediates!$B$43/(conversions!$C$1*intermediates!$B$42)</f>
        <v>0</v>
      </c>
      <c r="BK94" s="214">
        <f t="shared" si="148"/>
        <v>0</v>
      </c>
      <c r="BL94" s="214">
        <f t="shared" si="149"/>
        <v>18664.174404117584</v>
      </c>
      <c r="BM94" s="214">
        <f t="shared" si="150"/>
        <v>15044.646451762615</v>
      </c>
      <c r="BN94" s="214">
        <f>IF(A94&lt;intermediates!$B$29,MIN(BO93+intermediates!$B$33*AN93),MIN(BO93*intermediates!$B$35,BO93+intermediates!$B$37*AN93))</f>
        <v>7515.6350773228187</v>
      </c>
      <c r="BO94" s="212">
        <f>IF(A94&lt;intermediates!$B$29,MIN(BM94,BO93+intermediates!$B$33*AN93),MIN(BM94,BO93*intermediates!$B$35,BO93+intermediates!$B$37*AN93))</f>
        <v>7515.6350773228187</v>
      </c>
      <c r="BP94" s="214">
        <f t="shared" si="151"/>
        <v>0</v>
      </c>
      <c r="BQ94" s="214">
        <f t="shared" si="152"/>
        <v>7529.0113744397968</v>
      </c>
      <c r="BR94" s="212" t="str">
        <f t="shared" si="186"/>
        <v/>
      </c>
      <c r="BS94" s="212">
        <f>BP94*conversions!$C$1*intermediates!$B$42/intermediates!$B$43</f>
        <v>0</v>
      </c>
      <c r="BT94" s="214">
        <f>MIN(BT93+BS94,intermediates!$B$27*1000)</f>
        <v>0</v>
      </c>
      <c r="BU94" s="219" t="str">
        <f>IF(AND(BT94=intermediates!$B$27*1000,BT93&lt;&gt;intermediates!$B$27*1000),A94,"")</f>
        <v/>
      </c>
      <c r="BV94" s="212">
        <f>BT94*intermediates!$B$43/(conversions!$C$1*intermediates!$B$42)</f>
        <v>0</v>
      </c>
      <c r="BW94" s="214">
        <f t="shared" si="153"/>
        <v>18664.174404117584</v>
      </c>
      <c r="BX94" s="214">
        <f t="shared" si="154"/>
        <v>7515.6350773228187</v>
      </c>
      <c r="BY94" s="227">
        <f>IF(OR(BQ94&gt;0,BT94&lt;&gt;intermediates!$B$27*1000),MAX(0,(BX94-BX93)/AM93),0.000000000001)</f>
        <v>2.9986327406272422E-2</v>
      </c>
      <c r="BZ94" s="322">
        <f>BH94*intermediates!$B$49*1000000</f>
        <v>0</v>
      </c>
      <c r="CA94" s="322">
        <f>BI94*conversions!$C$1*1000000*intermediates!$B$50</f>
        <v>0</v>
      </c>
      <c r="CB94" s="322">
        <f>BT94*1000000*intermediates!$B$49</f>
        <v>0</v>
      </c>
      <c r="CC94" s="214">
        <f>BW94*conversions!$C$1*1000000/L94</f>
        <v>23582.827804777742</v>
      </c>
      <c r="CD94" s="173">
        <f t="shared" si="100"/>
        <v>2038</v>
      </c>
      <c r="CE94" s="173"/>
      <c r="CF94" s="173"/>
      <c r="CG94" s="173"/>
      <c r="CH94" s="173"/>
      <c r="CI94" s="173">
        <f t="shared" si="155"/>
        <v>7529.0113744397968</v>
      </c>
      <c r="CJ94" s="173">
        <f t="shared" si="156"/>
        <v>1420.8001169781019</v>
      </c>
      <c r="CK94" s="173">
        <f t="shared" si="157"/>
        <v>984.34414757586455</v>
      </c>
      <c r="CL94" s="173">
        <f t="shared" si="158"/>
        <v>1214.3836878010022</v>
      </c>
      <c r="CM94" s="173"/>
      <c r="CN94" s="173"/>
      <c r="CO94" s="329">
        <f t="shared" si="169"/>
        <v>7515.6350773228187</v>
      </c>
      <c r="CP94" s="174">
        <f t="shared" si="159"/>
        <v>25.888149391669568</v>
      </c>
      <c r="CQ94" s="228">
        <f t="shared" si="160"/>
        <v>5.666666666666667</v>
      </c>
      <c r="CR94" s="228">
        <f t="shared" si="170"/>
        <v>51</v>
      </c>
      <c r="CS94" s="214">
        <f t="shared" ca="1" si="161"/>
        <v>36.780829469468841</v>
      </c>
      <c r="CT94" s="190">
        <f t="shared" ca="1" si="162"/>
        <v>3.9834725185166286</v>
      </c>
      <c r="CU94" s="190">
        <f t="shared" ca="1" si="187"/>
        <v>36.780829469468841</v>
      </c>
      <c r="CV94" s="198">
        <f t="shared" si="174"/>
        <v>3022.3898040574836</v>
      </c>
      <c r="CW94" s="198">
        <f t="shared" ca="1" si="171"/>
        <v>3171.8748151006862</v>
      </c>
      <c r="CX94" s="198">
        <f t="shared" ca="1" si="172"/>
        <v>3119.2958124177976</v>
      </c>
      <c r="CY94" s="198">
        <f t="shared" ca="1" si="173"/>
        <v>-52.579002682889822</v>
      </c>
      <c r="CZ94" s="199">
        <f ca="1">IF(CX94&lt;intermediates!$B$55,intermediates!$B$56+(CX94-intermediates!$B$55)*intermediates!$B$53,intermediates!$B$56+(data!CX94-intermediates!$B$55)*intermediates!$B$58)</f>
        <v>1.6653638759282956</v>
      </c>
      <c r="DG94" s="201">
        <f>IF(A94&gt;MAX(intermediates!B$31,intermediates!$B$32),DG93,DG93+intermediates!$B$60*DG$73)</f>
        <v>17155417296250</v>
      </c>
      <c r="DH94" s="201">
        <f>IF(A94&gt;MAX(intermediates!B$31,intermediates!$B$32),DH93,DH93+intermediates!$B$61*DH$73)</f>
        <v>31027755389375</v>
      </c>
      <c r="DI94" s="201">
        <f>IF(A94&gt;MAX(intermediates!B$31,intermediates!$B$32),DI93,DI93+intermediates!$B$62*DI$73)</f>
        <v>39467562473000</v>
      </c>
      <c r="DJ94" s="221"/>
      <c r="EE94" s="218"/>
      <c r="EF94" s="212">
        <f>$EF$69+intermediates!$B$90*(A94-2013)*intermediates!$B$92+intermediates!$B$91*intermediates!$B$92*(A94-2013)^2</f>
        <v>2962.6373385492188</v>
      </c>
      <c r="EH94" s="212">
        <f>IF(A94&lt;intermediates!$B$29,data!EH93,IF(A94&lt;intermediates!$B$31,data!$EH$69+(intermediates!$B$93-data!$EH$69)*(data!A94-intermediates!$B$29)/(intermediates!$B$31-intermediates!$B$29),intermediates!$B$93))</f>
        <v>9.0077929228230477E-2</v>
      </c>
      <c r="EI94" s="212">
        <f t="shared" si="128"/>
        <v>9.0077929228230477E-2</v>
      </c>
      <c r="EN94" s="218"/>
      <c r="EO94" s="212">
        <f t="shared" si="129"/>
        <v>2695.7691020384696</v>
      </c>
      <c r="EQ94" s="212">
        <f t="shared" si="130"/>
        <v>266.86823651074928</v>
      </c>
      <c r="ET94" s="214">
        <f>IF(A94&lt;intermediates!$B$29,ET93+intermediates!$B$63,ET93+intermediates!$B$63*intermediates!$B$67)</f>
        <v>1035.1412975203002</v>
      </c>
      <c r="EU94" s="215">
        <f t="shared" si="131"/>
        <v>1035.1412975203002</v>
      </c>
      <c r="EV94" s="216">
        <f>data!EU94*conversions!$C$13</f>
        <v>1.2038693290161091</v>
      </c>
      <c r="EX94" s="212">
        <f>intermediates!$B$64+intermediates!$B$64*(EXP(-(data!A94-intermediates!$B$66)/intermediates!$B$65)-1)</f>
        <v>1.3740070697120795E-2</v>
      </c>
      <c r="EY94" s="217">
        <f>IF(A94&lt;intermediates!$B$29,data!EX94,data!EY93+(data!EX94-data!EX93)*intermediates!$B$68)</f>
        <v>1.3740070697120795E-2</v>
      </c>
      <c r="EZ94" s="217">
        <f t="shared" si="132"/>
        <v>1.3740070697120795E-2</v>
      </c>
      <c r="FB94" s="212">
        <f>intermediates!$B$94+intermediates!$B$95+(intermediates!$B$95*(EXP(-(data!A94-intermediates!$B$97)/intermediates!$B$96)-1))</f>
        <v>1.6764215175007409</v>
      </c>
      <c r="FC94" s="217">
        <f>IF(A94&lt;intermediates!$B$29,data!FB94,data!FC93+(data!FB94-data!FB93)*intermediates!$B$68)</f>
        <v>1.6764215175007409</v>
      </c>
      <c r="FD94" s="212">
        <f t="shared" si="133"/>
        <v>1.6764215175007409</v>
      </c>
      <c r="FF94" s="184">
        <f>intermediates!$B$98+intermediates!$B$99*EXP(-(A94-intermediates!$B$101)/intermediates!$B$100)</f>
        <v>0.8817827672834071</v>
      </c>
      <c r="FG94" s="184">
        <f t="shared" si="101"/>
        <v>0.8817827672834071</v>
      </c>
      <c r="FI94" s="184">
        <f>intermediates!$B$102+intermediates!$B$103*EXP(-(A94-intermediates!$B$105)/intermediates!$B$104)</f>
        <v>1.9482401653972078E-2</v>
      </c>
      <c r="FJ94" s="184">
        <f t="shared" si="134"/>
        <v>1.9482401653972078E-2</v>
      </c>
      <c r="FL94" s="184">
        <f>intermediates!$B$106</f>
        <v>4.5616870531049965E-2</v>
      </c>
      <c r="FM94" s="184">
        <f t="shared" si="135"/>
        <v>4.5616870531049965E-2</v>
      </c>
      <c r="FN94" s="218">
        <f>IF(A94&lt;intermediates!$B$29,0,IF(A94&lt;intermediates!$B$31,(data!A94-intermediates!$B$29)/(intermediates!$B$31-intermediates!$B$29),1))</f>
        <v>0.56666666666666665</v>
      </c>
      <c r="FO94" s="218">
        <f t="shared" si="176"/>
        <v>899392877467331.25</v>
      </c>
      <c r="FP94" s="218">
        <f t="shared" si="177"/>
        <v>1019971030096423.1</v>
      </c>
      <c r="FQ94" s="218">
        <f t="shared" si="178"/>
        <v>14014474062539.977</v>
      </c>
      <c r="FR94" s="218">
        <f t="shared" si="179"/>
        <v>1709901382081039.5</v>
      </c>
      <c r="FS94" s="218">
        <f t="shared" si="180"/>
        <v>1651853120126.8264</v>
      </c>
      <c r="FT94" s="218">
        <f>intermediates!$B$69*data!EU94/intermediates!$B$71</f>
        <v>2.6347801178231238</v>
      </c>
      <c r="FU94" s="218">
        <f>BC94*conversions!$C$1*1000000</f>
        <v>11484015055051.754</v>
      </c>
      <c r="FV94" s="218">
        <f t="shared" si="184"/>
        <v>4358623695908.2329</v>
      </c>
      <c r="FX94" s="221"/>
      <c r="FY94" s="221"/>
      <c r="FZ94" s="221"/>
      <c r="GA94" s="218">
        <f t="shared" si="102"/>
        <v>750.2724152860485</v>
      </c>
      <c r="GB94" s="218">
        <f>GA94*1000000*10000*intermediates!$B$71/(intermediates!$B$72*data!EU94)</f>
        <v>3559464081133.312</v>
      </c>
      <c r="GC94" s="218">
        <f t="shared" si="181"/>
        <v>8776788117959.6904</v>
      </c>
      <c r="GD94" s="218">
        <f t="shared" si="144"/>
        <v>18346729015128.063</v>
      </c>
      <c r="GE94" s="218">
        <f t="shared" si="182"/>
        <v>19624253644563.406</v>
      </c>
      <c r="GF94" s="218">
        <f t="shared" si="183"/>
        <v>382327591662.80969</v>
      </c>
      <c r="GG94" s="218">
        <f t="shared" si="136"/>
        <v>895197037772.5343</v>
      </c>
      <c r="GH94" s="218">
        <f t="shared" si="103"/>
        <v>9645648127334.1055</v>
      </c>
      <c r="GI94" s="218">
        <f t="shared" si="145"/>
        <v>782993110752.41211</v>
      </c>
      <c r="GJ94" s="218">
        <f>ET94*intermediates!$B$73/intermediates!$B$71</f>
        <v>3.9521701767346862</v>
      </c>
      <c r="GK94" s="218">
        <f>CL94*conversions!$C$1*1000000/data!GJ94</f>
        <v>3584817722276.6367</v>
      </c>
      <c r="GL94" s="218">
        <f>MIN(1,FN94)*(intermediates!$B$75-data!$GL$69)+data!$GL$69</f>
        <v>0.58410198645468236</v>
      </c>
      <c r="GM94" s="218">
        <f>GL94*intermediates!$B$74*(FS94+GC94+GK94+GG94+GF94+GB94+FV94)</f>
        <v>2033469703370.9641</v>
      </c>
      <c r="GN94" s="218">
        <f>MIN(1,FN94)*intermediates!$B$76</f>
        <v>6.7999999999999991E-2</v>
      </c>
      <c r="GO94" s="218">
        <f t="shared" si="137"/>
        <v>1716492792774.3484</v>
      </c>
      <c r="GP94" s="218">
        <f>IF(A94&gt;intermediates!$B$29,MIN(1,(A94-intermediates!$B$29)/(intermediates!$B$31-intermediates!$B$29))*intermediates!$B$77,0)</f>
        <v>8.4999999999999992E-2</v>
      </c>
      <c r="GQ94" s="218">
        <f>IF(AND(A94&gt;intermediates!$B$29+intermediates!$B$30,data!GP94&lt;intermediates!$B$77),1,0)</f>
        <v>0</v>
      </c>
      <c r="GR94" s="218">
        <f t="shared" si="104"/>
        <v>4095569678278.1245</v>
      </c>
      <c r="GS94" s="218">
        <f t="shared" si="105"/>
        <v>45069077603803.453</v>
      </c>
      <c r="GT94" s="218">
        <f t="shared" si="97"/>
        <v>87650735158625</v>
      </c>
      <c r="GU94" s="218">
        <f t="shared" si="106"/>
        <v>43563132151278.125</v>
      </c>
      <c r="GV94" s="218">
        <f t="shared" si="107"/>
        <v>25242541070211.008</v>
      </c>
      <c r="GW94" s="218">
        <f t="shared" si="108"/>
        <v>3114095081821.5469</v>
      </c>
      <c r="GX94" s="218">
        <f>MIN(intermediates!$B$88,FN94*intermediates!$B$87*GO94)</f>
        <v>486339624619.39868</v>
      </c>
      <c r="GY94" s="218">
        <f t="shared" si="109"/>
        <v>1230153168154.9497</v>
      </c>
      <c r="GZ94" s="218">
        <f>MIN(intermediates!$B$88-GX94,intermediates!$B$87*data!GW94*FN94)</f>
        <v>882326939849.43823</v>
      </c>
      <c r="HA94" s="218">
        <f t="shared" si="138"/>
        <v>2231768141972.1084</v>
      </c>
      <c r="HB94" s="218">
        <f t="shared" si="139"/>
        <v>1368666564468.8369</v>
      </c>
      <c r="HC94" s="218">
        <f t="shared" si="110"/>
        <v>17476395372667.035</v>
      </c>
      <c r="HD94" s="218">
        <f>HC94*intermediates!$B$79/(10000*1000000000)</f>
        <v>1159.9818391582965</v>
      </c>
      <c r="HE94" s="218">
        <f>(GV94*intermediates!$B$80+GV94*GL94*intermediates!$B$82)/(10000*1000000000)</f>
        <v>865.14727933413735</v>
      </c>
      <c r="HF94" s="218">
        <f>GU94*intermediates!$B$78/(10000*1000000000)</f>
        <v>4386.7791974533729</v>
      </c>
      <c r="HG94" s="218">
        <f>HB94*intermediates!$B$81/(10000*1000000000)</f>
        <v>344.03283057547037</v>
      </c>
      <c r="HH94" s="218">
        <f t="shared" si="111"/>
        <v>21.712245466640525</v>
      </c>
      <c r="HI94" s="218">
        <f t="shared" si="112"/>
        <v>23.543904209950597</v>
      </c>
      <c r="HJ94" s="218">
        <f t="shared" si="113"/>
        <v>-36.770636580784981</v>
      </c>
      <c r="HK94" s="218">
        <f ca="1">SUM(HJ94:INDIRECT(ADDRESS(MAX(CELL("row",HJ94)-intermediates!$B$83,69),CELL("col",HJ94))))/intermediates!$B$83+SUM(HH94:INDIRECT(ADDRESS(MAX(CELL("row",HH94)-intermediates!$B$84,69),CELL("col",HH94))))/intermediates!$B$84+SUM(HI94:INDIRECT(ADDRESS(MAX(CELL("row",HI94)-intermediates!$B$85,69),CELL("col",HI94))))/intermediates!$B$85</f>
        <v>-16.559346744465937</v>
      </c>
      <c r="HL94" s="218">
        <f t="shared" ca="1" si="163"/>
        <v>-147.90600836031302</v>
      </c>
      <c r="HM94" s="188">
        <f t="shared" si="114"/>
        <v>2038</v>
      </c>
      <c r="HQ94" s="185">
        <f t="shared" si="115"/>
        <v>1183.0118874213904</v>
      </c>
      <c r="HR94" s="185">
        <f t="shared" si="116"/>
        <v>472.05182595509746</v>
      </c>
      <c r="HS94" s="185">
        <f t="shared" si="117"/>
        <v>385.50047816652335</v>
      </c>
      <c r="HT94" s="185">
        <f t="shared" si="118"/>
        <v>388.2463524220945</v>
      </c>
      <c r="HU94" s="185">
        <f t="shared" si="119"/>
        <v>220.23077775715464</v>
      </c>
      <c r="HV94" s="185">
        <f t="shared" si="120"/>
        <v>185.90124167602733</v>
      </c>
      <c r="HW94" s="185">
        <f t="shared" si="121"/>
        <v>443.56229852383757</v>
      </c>
      <c r="HX94" s="185">
        <f t="shared" si="122"/>
        <v>84.800467631083123</v>
      </c>
      <c r="HY94" s="185">
        <f t="shared" si="123"/>
        <v>1517.8089535999331</v>
      </c>
      <c r="HZ94" s="185">
        <f t="shared" si="140"/>
        <v>3278.5048619221252</v>
      </c>
      <c r="IA94" s="185">
        <f t="shared" si="141"/>
        <v>4881.1142831531415</v>
      </c>
      <c r="IB94" s="185">
        <f t="shared" si="124"/>
        <v>2298.4146413214439</v>
      </c>
      <c r="IC94" s="185">
        <f t="shared" si="175"/>
        <v>5218.3799826333834</v>
      </c>
      <c r="ID94" s="185">
        <f t="shared" si="125"/>
        <v>4274.4536420674722</v>
      </c>
      <c r="IE94" s="184">
        <f t="shared" si="142"/>
        <v>-0.45382995890276573</v>
      </c>
      <c r="IF94" s="184">
        <f t="shared" si="143"/>
        <v>-7.8902645278687095E-2</v>
      </c>
    </row>
    <row r="95" spans="1:240" x14ac:dyDescent="0.3">
      <c r="A95" s="211">
        <v>2039</v>
      </c>
      <c r="E95" s="207">
        <v>8687153.6229999997</v>
      </c>
      <c r="F95" s="207">
        <v>9138828.5620000102</v>
      </c>
      <c r="G95" s="207">
        <v>9591020.9000000004</v>
      </c>
      <c r="I95" s="207">
        <f t="shared" si="164"/>
        <v>8687153623</v>
      </c>
      <c r="J95" s="207">
        <f t="shared" si="164"/>
        <v>9138828562.0000095</v>
      </c>
      <c r="K95" s="207">
        <f t="shared" si="164"/>
        <v>9591020900</v>
      </c>
      <c r="L95" s="187">
        <f>IF(intermediates!$B$4&gt;=2,(intermediates!$B$4-2)*K95+(1-(intermediates!$B$4-2))*J95,(intermediates!$B$4-1)*J95+(1-(intermediates!$B$4-1))*I95)</f>
        <v>9305804859.3191681</v>
      </c>
      <c r="AJ95" s="184">
        <f>IF(intermediates!$B$46=0,$AJ$74+(intermediates!$B$15-$AJ$74)*MIN(1,(data!A95-data!$A$74)/(intermediates!$B$32-data!$A$74)),IF(A95&lt;2021,$AJ$74+(intermediates!$B$15-$AJ$74)*MIN(1,(data!A95-data!$A$74)/(intermediates!$B$32-data!$A$74)),intermediates!$B$47+(intermediates!$B$15-intermediates!$B$47)*MIN(1,(data!A95-$A$77)/(intermediates!$B$32-$A$77))))</f>
        <v>23702.11443587844</v>
      </c>
      <c r="AK95" s="192">
        <f t="shared" si="146"/>
        <v>23702.11443587844</v>
      </c>
      <c r="AL95" s="192">
        <f t="shared" si="185"/>
        <v>220567251693536.59</v>
      </c>
      <c r="AM95" s="192">
        <f>data!AL95/(1000000*conversions!$C$1)</f>
        <v>18905.764430874566</v>
      </c>
      <c r="AN95" s="192">
        <f>IF(intermediates!$B$13=1,($AJ$74+(27400-$AJ$74)*MIN(1,(data!A95-data!$A$74)/(intermediates!$B$32-data!$A$74)))*L95/(1000000*conversions!$C$1),data!AM95)</f>
        <v>18905.764430874566</v>
      </c>
      <c r="AV95" s="214">
        <f>IF(A95&lt;intermediates!$B$29,0,IF(A95&lt;intermediates!$B$31,(data!A95-intermediates!$B$29)*intermediates!$B$26/(intermediates!$B$31-intermediates!$B$29),intermediates!$B$26))</f>
        <v>6</v>
      </c>
      <c r="AW95" s="212">
        <f>MIN(AW94+intermediates!$B$16,intermediates!$B$17*data!$AW$74)</f>
        <v>1444.4003781653112</v>
      </c>
      <c r="AX95" s="212">
        <f>AV95*1000/conversions!$C$16/intermediates!$B$40</f>
        <v>4912.2350980837691</v>
      </c>
      <c r="AY95" s="212">
        <f>AX95*(1-intermediates!$B$39)*intermediates!$B$28/(conversions!$C$2)</f>
        <v>1285.8180223775319</v>
      </c>
      <c r="AZ95" s="213">
        <f>IF(A95&lt;intermediates!$B$29,0,MIN(intermediates!$B$25,intermediates!$B$25*(A95-intermediates!$B$29)/(intermediates!$B$31-intermediates!$B$29)))</f>
        <v>0</v>
      </c>
      <c r="BA95" s="212">
        <f>IF(A95&lt;intermediates!$B$29,data!$BA$74,IF(intermediates!$B$23&gt;data!$BA$74,MIN(intermediates!$B$23,data!$BA$74+(intermediates!$B$23-data!$BA$74)*((data!A95-intermediates!$B$29)/(intermediates!$B$31-intermediates!$B$29))),MAX(intermediates!$B$23,data!$BA$74+(intermediates!$B$23-data!$BA$74)*((data!A95-intermediates!$B$29)/(intermediates!$B$31-intermediates!$B$29)))))</f>
        <v>5.4836704946284884E-2</v>
      </c>
      <c r="BB95" s="212">
        <f t="shared" si="147"/>
        <v>1036.7298258798362</v>
      </c>
      <c r="BC95" s="212">
        <f t="shared" si="166"/>
        <v>1036.7298258798362</v>
      </c>
      <c r="BD95" s="212">
        <f t="shared" si="167"/>
        <v>0</v>
      </c>
      <c r="BE95" s="214">
        <f>MAX(0,MIN(1,(data!A95-intermediates!$B$29)/(intermediates!$B$31-intermediates!$B$29)))*((intermediates!$B$38*L95)-$BE$69*1000000000)/1000000000+$BE$69</f>
        <v>786.77492884490698</v>
      </c>
      <c r="BF95" s="214">
        <f t="shared" si="99"/>
        <v>786.77492884490698</v>
      </c>
      <c r="BG95" s="214">
        <f t="shared" si="168"/>
        <v>0</v>
      </c>
      <c r="BH95" s="214">
        <f>BD95*conversions!$C$2/conversions!$C$17+BG95*conversions!$C$6/conversions!$C$10</f>
        <v>0</v>
      </c>
      <c r="BI95" s="214">
        <f>BH95*intermediates!$B$41*conversions!$C$11/(conversions!$C$2*conversions!$C$6*intermediates!$B$42)</f>
        <v>0</v>
      </c>
      <c r="BJ95" s="214">
        <f>BH95*intermediates!$B$43/(conversions!$C$1*intermediates!$B$42)</f>
        <v>0</v>
      </c>
      <c r="BK95" s="214">
        <f t="shared" si="148"/>
        <v>0</v>
      </c>
      <c r="BL95" s="214">
        <f t="shared" si="149"/>
        <v>18905.764430874566</v>
      </c>
      <c r="BM95" s="214">
        <f t="shared" si="150"/>
        <v>15138.816204451887</v>
      </c>
      <c r="BN95" s="214">
        <f>IF(A95&lt;intermediates!$B$29,MIN(BO94+intermediates!$B$33*AN94),MIN(BO94*intermediates!$B$35,BO94+intermediates!$B$37*AN94))</f>
        <v>8075.3051217724578</v>
      </c>
      <c r="BO95" s="212">
        <f>IF(A95&lt;intermediates!$B$29,MIN(BM95,BO94+intermediates!$B$33*AN94),MIN(BM95,BO94*intermediates!$B$35,BO94+intermediates!$B$37*AN94))</f>
        <v>8075.3051217724578</v>
      </c>
      <c r="BP95" s="214">
        <f t="shared" si="151"/>
        <v>0</v>
      </c>
      <c r="BQ95" s="214">
        <f t="shared" si="152"/>
        <v>7063.511082679428</v>
      </c>
      <c r="BR95" s="212" t="str">
        <f t="shared" si="186"/>
        <v/>
      </c>
      <c r="BS95" s="212">
        <f>BP95*conversions!$C$1*intermediates!$B$42/intermediates!$B$43</f>
        <v>0</v>
      </c>
      <c r="BT95" s="214">
        <f>MIN(BT94+BS95,intermediates!$B$27*1000)</f>
        <v>0</v>
      </c>
      <c r="BU95" s="219" t="str">
        <f>IF(AND(BT95=intermediates!$B$27*1000,BT94&lt;&gt;intermediates!$B$27*1000),A95,"")</f>
        <v/>
      </c>
      <c r="BV95" s="212">
        <f>BT95*intermediates!$B$43/(conversions!$C$1*intermediates!$B$42)</f>
        <v>0</v>
      </c>
      <c r="BW95" s="214">
        <f t="shared" si="153"/>
        <v>18905.764430874566</v>
      </c>
      <c r="BX95" s="214">
        <f t="shared" si="154"/>
        <v>8075.3051217724578</v>
      </c>
      <c r="BY95" s="227">
        <f>IF(OR(BQ95&gt;0,BT95&lt;&gt;intermediates!$B$27*1000),MAX(0,(BX95-BX94)/AM94),0.000000000001)</f>
        <v>2.9986327406272408E-2</v>
      </c>
      <c r="BZ95" s="322">
        <f>BH95*intermediates!$B$49*1000000</f>
        <v>0</v>
      </c>
      <c r="CA95" s="322">
        <f>BI95*conversions!$C$1*1000000*intermediates!$B$50</f>
        <v>0</v>
      </c>
      <c r="CB95" s="322">
        <f>BT95*1000000*intermediates!$B$49</f>
        <v>0</v>
      </c>
      <c r="CC95" s="214">
        <f>BW95*conversions!$C$1*1000000/L95</f>
        <v>23702.11443587844</v>
      </c>
      <c r="CD95" s="173">
        <f t="shared" si="100"/>
        <v>2039</v>
      </c>
      <c r="CE95" s="173"/>
      <c r="CF95" s="173"/>
      <c r="CG95" s="173"/>
      <c r="CH95" s="173"/>
      <c r="CI95" s="173">
        <f t="shared" si="155"/>
        <v>7063.511082679428</v>
      </c>
      <c r="CJ95" s="173">
        <f t="shared" si="156"/>
        <v>1444.4003781653112</v>
      </c>
      <c r="CK95" s="173">
        <f t="shared" si="157"/>
        <v>1036.7298258798362</v>
      </c>
      <c r="CL95" s="173">
        <f t="shared" si="158"/>
        <v>1285.8180223775319</v>
      </c>
      <c r="CM95" s="173"/>
      <c r="CN95" s="173"/>
      <c r="CO95" s="329">
        <f t="shared" si="169"/>
        <v>8075.3051217724578</v>
      </c>
      <c r="CP95" s="174">
        <f t="shared" si="159"/>
        <v>24.28754866261902</v>
      </c>
      <c r="CQ95" s="228">
        <f t="shared" si="160"/>
        <v>6</v>
      </c>
      <c r="CR95" s="228">
        <f t="shared" si="170"/>
        <v>57</v>
      </c>
      <c r="CS95" s="214">
        <f t="shared" ca="1" si="161"/>
        <v>35.760249751686516</v>
      </c>
      <c r="CT95" s="190">
        <f t="shared" ca="1" si="162"/>
        <v>3.8427895590218522</v>
      </c>
      <c r="CU95" s="190">
        <f t="shared" ca="1" si="187"/>
        <v>35.760249751686516</v>
      </c>
      <c r="CV95" s="198">
        <f t="shared" si="174"/>
        <v>3046.6773527201026</v>
      </c>
      <c r="CW95" s="198">
        <f t="shared" ca="1" si="171"/>
        <v>3213.6350648523726</v>
      </c>
      <c r="CX95" s="198">
        <f t="shared" ca="1" si="172"/>
        <v>3155.056062169484</v>
      </c>
      <c r="CY95" s="198">
        <f t="shared" ca="1" si="173"/>
        <v>-58.579002682889822</v>
      </c>
      <c r="CZ95" s="199">
        <f ca="1">IF(CX95&lt;intermediates!$B$55,intermediates!$B$56+(CX95-intermediates!$B$55)*intermediates!$B$53,intermediates!$B$56+(data!CX95-intermediates!$B$55)*intermediates!$B$58)</f>
        <v>1.6848102889331722</v>
      </c>
      <c r="DG95" s="201">
        <f>IF(A95&gt;MAX(intermediates!B$31,intermediates!$B$32),DG94,DG94+intermediates!$B$60*DG$73)</f>
        <v>17228848237500</v>
      </c>
      <c r="DH95" s="201">
        <f>IF(A95&gt;MAX(intermediates!B$31,intermediates!$B$32),DH94,DH94+intermediates!$B$61*DH$73)</f>
        <v>30949828106250</v>
      </c>
      <c r="DI95" s="201">
        <f>IF(A95&gt;MAX(intermediates!B$31,intermediates!$B$32),DI94,DI94+intermediates!$B$62*DI$73)</f>
        <v>39442620866000</v>
      </c>
      <c r="DJ95" s="221"/>
      <c r="EE95" s="218"/>
      <c r="EF95" s="212">
        <f>$EF$69+intermediates!$B$90*(A95-2013)*intermediates!$B$92+intermediates!$B$91*intermediates!$B$92*(A95-2013)^2</f>
        <v>2968.5328285492187</v>
      </c>
      <c r="EH95" s="212">
        <f>IF(A95&lt;intermediates!$B$29,data!EH94,IF(A95&lt;intermediates!$B$31,data!$EH$69+(intermediates!$B$93-data!$EH$69)*(data!A95-intermediates!$B$29)/(intermediates!$B$31-intermediates!$B$29),intermediates!$B$93))</f>
        <v>8.5089021091513103E-2</v>
      </c>
      <c r="EI95" s="212">
        <f t="shared" si="128"/>
        <v>8.5089021091513103E-2</v>
      </c>
      <c r="EN95" s="218"/>
      <c r="EO95" s="212">
        <f t="shared" si="129"/>
        <v>2715.9432760899454</v>
      </c>
      <c r="EQ95" s="212">
        <f t="shared" si="130"/>
        <v>252.58955245927336</v>
      </c>
      <c r="ET95" s="214">
        <f>IF(A95&lt;intermediates!$B$29,ET94+intermediates!$B$63,ET94+intermediates!$B$63*intermediates!$B$67)</f>
        <v>1045.116886911743</v>
      </c>
      <c r="EU95" s="215">
        <f t="shared" si="131"/>
        <v>1045.116886911743</v>
      </c>
      <c r="EV95" s="216">
        <f>data!EU95*conversions!$C$13</f>
        <v>1.2154709394783572</v>
      </c>
      <c r="EX95" s="212">
        <f>intermediates!$B$64+intermediates!$B$64*(EXP(-(data!A95-intermediates!$B$66)/intermediates!$B$65)-1)</f>
        <v>1.3484636098331212E-2</v>
      </c>
      <c r="EY95" s="217">
        <f>IF(A95&lt;intermediates!$B$29,data!EX95,data!EY94+(data!EX95-data!EX94)*intermediates!$B$68)</f>
        <v>1.3484636098331212E-2</v>
      </c>
      <c r="EZ95" s="217">
        <f t="shared" si="132"/>
        <v>1.3484636098331212E-2</v>
      </c>
      <c r="FB95" s="212">
        <f>intermediates!$B$94+intermediates!$B$95+(intermediates!$B$95*(EXP(-(data!A95-intermediates!$B$97)/intermediates!$B$96)-1))</f>
        <v>1.6716104218289873</v>
      </c>
      <c r="FC95" s="217">
        <f>IF(A95&lt;intermediates!$B$29,data!FB95,data!FC94+(data!FB95-data!FB94)*intermediates!$B$68)</f>
        <v>1.6716104218289873</v>
      </c>
      <c r="FD95" s="212">
        <f t="shared" si="133"/>
        <v>1.6716104218289873</v>
      </c>
      <c r="FF95" s="184">
        <f>intermediates!$B$98+intermediates!$B$99*EXP(-(A95-intermediates!$B$101)/intermediates!$B$100)</f>
        <v>0.8824001815100635</v>
      </c>
      <c r="FG95" s="184">
        <f t="shared" si="101"/>
        <v>0.8824001815100635</v>
      </c>
      <c r="FI95" s="184">
        <f>intermediates!$B$102+intermediates!$B$103*EXP(-(A95-intermediates!$B$105)/intermediates!$B$104)</f>
        <v>1.9301998997582927E-2</v>
      </c>
      <c r="FJ95" s="184">
        <f t="shared" si="134"/>
        <v>1.9301998997582927E-2</v>
      </c>
      <c r="FL95" s="184">
        <f>intermediates!$B$106</f>
        <v>4.5616870531049965E-2</v>
      </c>
      <c r="FM95" s="184">
        <f t="shared" si="135"/>
        <v>4.5616870531049965E-2</v>
      </c>
      <c r="FN95" s="218">
        <f>IF(A95&lt;intermediates!$B$29,0,IF(A95&lt;intermediates!$B$31,(data!A95-intermediates!$B$29)/(intermediates!$B$31-intermediates!$B$29),1))</f>
        <v>0.6</v>
      </c>
      <c r="FO95" s="218">
        <f t="shared" si="176"/>
        <v>857950415911397.38</v>
      </c>
      <c r="FP95" s="218">
        <f t="shared" si="177"/>
        <v>972291749128128.13</v>
      </c>
      <c r="FQ95" s="218">
        <f t="shared" si="178"/>
        <v>13111000418402.752</v>
      </c>
      <c r="FR95" s="218">
        <f t="shared" si="179"/>
        <v>1625293020900914.3</v>
      </c>
      <c r="FS95" s="218">
        <f t="shared" si="180"/>
        <v>1555130379438.7598</v>
      </c>
      <c r="FT95" s="218">
        <f>intermediates!$B$69*data!EU95/intermediates!$B$71</f>
        <v>2.660171322536049</v>
      </c>
      <c r="FU95" s="218">
        <f>BC95*conversions!$C$1*1000000</f>
        <v>12095181301931.422</v>
      </c>
      <c r="FV95" s="218">
        <f t="shared" si="184"/>
        <v>4546767796293.8848</v>
      </c>
      <c r="FX95" s="221"/>
      <c r="FY95" s="221"/>
      <c r="FZ95" s="221"/>
      <c r="GA95" s="218">
        <f t="shared" si="102"/>
        <v>786.77492884490698</v>
      </c>
      <c r="GB95" s="218">
        <f>GA95*1000000*10000*intermediates!$B$71/(intermediates!$B$72*data!EU95)</f>
        <v>3697012492107.2876</v>
      </c>
      <c r="GC95" s="218">
        <f t="shared" si="181"/>
        <v>8826786778844.4648</v>
      </c>
      <c r="GD95" s="218">
        <f t="shared" si="144"/>
        <v>18625697446684.398</v>
      </c>
      <c r="GE95" s="218">
        <f t="shared" si="182"/>
        <v>19918803662838.68</v>
      </c>
      <c r="GF95" s="218">
        <f t="shared" si="183"/>
        <v>384472728333.16333</v>
      </c>
      <c r="GG95" s="218">
        <f t="shared" si="136"/>
        <v>908633487821.11584</v>
      </c>
      <c r="GH95" s="218">
        <f t="shared" si="103"/>
        <v>9647700139498.877</v>
      </c>
      <c r="GI95" s="218">
        <f t="shared" si="145"/>
        <v>734217018784.34766</v>
      </c>
      <c r="GJ95" s="218">
        <f>ET95*intermediates!$B$73/intermediates!$B$71</f>
        <v>3.9902569838040738</v>
      </c>
      <c r="GK95" s="218">
        <f>CL95*conversions!$C$1*1000000/data!GJ95</f>
        <v>3759459684416.1006</v>
      </c>
      <c r="GL95" s="218">
        <f>MIN(1,FN95)*(intermediates!$B$75-data!$GL$69)+data!$GL$69</f>
        <v>0.61609414134278373</v>
      </c>
      <c r="GM95" s="218">
        <f>GL95*intermediates!$B$74*(FS95+GC95+GK95+GG95+GF95+GB95+FV95)</f>
        <v>2188205898812.2854</v>
      </c>
      <c r="GN95" s="218">
        <f>MIN(1,FN95)*intermediates!$B$76</f>
        <v>7.1999999999999995E-2</v>
      </c>
      <c r="GO95" s="218">
        <f t="shared" si="137"/>
        <v>1862385785716.8284</v>
      </c>
      <c r="GP95" s="218">
        <f>IF(A95&gt;intermediates!$B$29,MIN(1,(A95-intermediates!$B$29)/(intermediates!$B$31-intermediates!$B$29))*intermediates!$B$77,0)</f>
        <v>0.09</v>
      </c>
      <c r="GQ95" s="218">
        <f>IF(AND(A95&gt;intermediates!$B$29+intermediates!$B$30,data!GP95&lt;intermediates!$B$77),1,0)</f>
        <v>0</v>
      </c>
      <c r="GR95" s="218">
        <f t="shared" si="104"/>
        <v>4336080870937.5</v>
      </c>
      <c r="GS95" s="218">
        <f t="shared" si="105"/>
        <v>45175936321124.148</v>
      </c>
      <c r="GT95" s="218">
        <f t="shared" si="97"/>
        <v>87621297209750</v>
      </c>
      <c r="GU95" s="218">
        <f t="shared" si="106"/>
        <v>43778701736937.5</v>
      </c>
      <c r="GV95" s="218">
        <f t="shared" si="107"/>
        <v>25866469246067.066</v>
      </c>
      <c r="GW95" s="218">
        <f t="shared" si="108"/>
        <v>3002740022625.8516</v>
      </c>
      <c r="GX95" s="218">
        <f>MIN(intermediates!$B$88,FN95*intermediates!$B$87*GO95)</f>
        <v>558715735715.04846</v>
      </c>
      <c r="GY95" s="218">
        <f t="shared" si="109"/>
        <v>1303670050001.7798</v>
      </c>
      <c r="GZ95" s="218">
        <f>MIN(intermediates!$B$88-GX95,intermediates!$B$87*data!GW95*FN95)</f>
        <v>900822006787.75549</v>
      </c>
      <c r="HA95" s="218">
        <f t="shared" si="138"/>
        <v>2101918015838.0962</v>
      </c>
      <c r="HB95" s="218">
        <f t="shared" si="139"/>
        <v>1459537742502.804</v>
      </c>
      <c r="HC95" s="218">
        <f t="shared" si="110"/>
        <v>16516588484242.627</v>
      </c>
      <c r="HD95" s="218">
        <f>HC95*intermediates!$B$79/(10000*1000000000)</f>
        <v>1096.2754205330557</v>
      </c>
      <c r="HE95" s="218">
        <f>(GV95*intermediates!$B$80+GV95*GL95*intermediates!$B$82)/(10000*1000000000)</f>
        <v>892.52001635172269</v>
      </c>
      <c r="HF95" s="218">
        <f>GU95*intermediates!$B$78/(10000*1000000000)</f>
        <v>4408.4869151328612</v>
      </c>
      <c r="HG95" s="218">
        <f>HB95*intermediates!$B$81/(10000*1000000000)</f>
        <v>366.87452877161638</v>
      </c>
      <c r="HH95" s="218">
        <f t="shared" si="111"/>
        <v>21.707717679488269</v>
      </c>
      <c r="HI95" s="218">
        <f t="shared" si="112"/>
        <v>22.841698196146012</v>
      </c>
      <c r="HJ95" s="218">
        <f t="shared" si="113"/>
        <v>-36.333681607655421</v>
      </c>
      <c r="HK95" s="218">
        <f ca="1">SUM(HJ95:INDIRECT(ADDRESS(MAX(CELL("row",HJ95)-intermediates!$B$83,69),CELL("col",HJ95))))/intermediates!$B$83+SUM(HH95:INDIRECT(ADDRESS(MAX(CELL("row",HH95)-intermediates!$B$84,69),CELL("col",HH95))))/intermediates!$B$84+SUM(HI95:INDIRECT(ADDRESS(MAX(CELL("row",HI95)-intermediates!$B$85,69),CELL("col",HI95))))/intermediates!$B$85</f>
        <v>-17.472701089067492</v>
      </c>
      <c r="HL95" s="218">
        <f t="shared" ca="1" si="163"/>
        <v>-165.37870944938052</v>
      </c>
      <c r="HM95" s="188">
        <f t="shared" si="114"/>
        <v>2039</v>
      </c>
      <c r="HQ95" s="185">
        <f t="shared" si="115"/>
        <v>1175.6969462664629</v>
      </c>
      <c r="HR95" s="185">
        <f t="shared" si="116"/>
        <v>488.59479271592375</v>
      </c>
      <c r="HS95" s="185">
        <f t="shared" si="117"/>
        <v>397.28025119772053</v>
      </c>
      <c r="HT95" s="185">
        <f t="shared" si="118"/>
        <v>403.99081447009308</v>
      </c>
      <c r="HU95" s="185">
        <f t="shared" si="119"/>
        <v>235.14418493537798</v>
      </c>
      <c r="HV95" s="185">
        <f t="shared" si="120"/>
        <v>200.13161826102211</v>
      </c>
      <c r="HW95" s="185">
        <f t="shared" si="121"/>
        <v>465.95441624753096</v>
      </c>
      <c r="HX95" s="185">
        <f t="shared" si="122"/>
        <v>78.898819595284792</v>
      </c>
      <c r="HY95" s="185">
        <f t="shared" si="123"/>
        <v>1408.9055827635289</v>
      </c>
      <c r="HZ95" s="185">
        <f t="shared" si="140"/>
        <v>3366.7930240941309</v>
      </c>
      <c r="IA95" s="185">
        <f t="shared" si="141"/>
        <v>4854.597426452945</v>
      </c>
      <c r="IB95" s="185">
        <f t="shared" si="124"/>
        <v>2308.2526270480812</v>
      </c>
      <c r="IC95" s="185">
        <f t="shared" si="175"/>
        <v>5177.2712916392329</v>
      </c>
      <c r="ID95" s="185">
        <f t="shared" si="125"/>
        <v>4238.4964505784519</v>
      </c>
      <c r="IE95" s="184">
        <f t="shared" si="142"/>
        <v>-0.42715106374526174</v>
      </c>
      <c r="IF95" s="184">
        <f t="shared" si="143"/>
        <v>-7.6129322968349011E-2</v>
      </c>
    </row>
    <row r="96" spans="1:240" x14ac:dyDescent="0.3">
      <c r="A96" s="211">
        <v>2040</v>
      </c>
      <c r="E96" s="207">
        <v>8716309.5500000007</v>
      </c>
      <c r="F96" s="207">
        <v>9198847.3819999993</v>
      </c>
      <c r="G96" s="207">
        <v>9682331.7920000106</v>
      </c>
      <c r="I96" s="207">
        <f t="shared" si="164"/>
        <v>8716309550</v>
      </c>
      <c r="J96" s="207">
        <f t="shared" si="164"/>
        <v>9198847382</v>
      </c>
      <c r="K96" s="207">
        <f t="shared" si="164"/>
        <v>9682331792.0000114</v>
      </c>
      <c r="L96" s="187">
        <f>IF(intermediates!$B$4&gt;=2,(intermediates!$B$4-2)*K96+(1-(intermediates!$B$4-2))*J96,(intermediates!$B$4-1)*J96+(1-(intermediates!$B$4-1))*I96)</f>
        <v>9377378572.8432674</v>
      </c>
      <c r="AJ96" s="184">
        <f>IF(intermediates!$B$46=0,$AJ$74+(intermediates!$B$15-$AJ$74)*MIN(1,(data!A96-data!$A$74)/(intermediates!$B$32-data!$A$74)),IF(A96&lt;2021,$AJ$74+(intermediates!$B$15-$AJ$74)*MIN(1,(data!A96-data!$A$74)/(intermediates!$B$32-data!$A$74)),intermediates!$B$47+(intermediates!$B$15-intermediates!$B$47)*MIN(1,(data!A96-$A$77)/(intermediates!$B$32-$A$77))))</f>
        <v>23821.401066979135</v>
      </c>
      <c r="AK96" s="192">
        <f t="shared" si="146"/>
        <v>23821.401066979135</v>
      </c>
      <c r="AL96" s="192">
        <f t="shared" si="185"/>
        <v>223382295940595.88</v>
      </c>
      <c r="AM96" s="192">
        <f>data!AL96/(1000000*conversions!$C$1)</f>
        <v>19147.053937765362</v>
      </c>
      <c r="AN96" s="192">
        <f>IF(intermediates!$B$13=1,($AJ$74+(27400-$AJ$74)*MIN(1,(data!A96-data!$A$74)/(intermediates!$B$32-data!$A$74)))*L96/(1000000*conversions!$C$1),data!AM96)</f>
        <v>19147.053937765362</v>
      </c>
      <c r="AV96" s="214">
        <f>IF(A96&lt;intermediates!$B$29,0,IF(A96&lt;intermediates!$B$31,(data!A96-intermediates!$B$29)*intermediates!$B$26/(intermediates!$B$31-intermediates!$B$29),intermediates!$B$26))</f>
        <v>6.333333333333333</v>
      </c>
      <c r="AW96" s="212">
        <f>MIN(AW95+intermediates!$B$16,intermediates!$B$17*data!$AW$74)</f>
        <v>1468.0006393525205</v>
      </c>
      <c r="AX96" s="212">
        <f>AV96*1000/conversions!$C$16/intermediates!$B$40</f>
        <v>5185.1370479773113</v>
      </c>
      <c r="AY96" s="212">
        <f>AX96*(1-intermediates!$B$39)*intermediates!$B$28/(conversions!$C$2)</f>
        <v>1357.252356954061</v>
      </c>
      <c r="AZ96" s="213">
        <f>IF(A96&lt;intermediates!$B$29,0,MIN(intermediates!$B$25,intermediates!$B$25*(A96-intermediates!$B$29)/(intermediates!$B$31-intermediates!$B$29)))</f>
        <v>0</v>
      </c>
      <c r="BA96" s="212">
        <f>IF(A96&lt;intermediates!$B$29,data!$BA$74,IF(intermediates!$B$23&gt;data!$BA$74,MIN(intermediates!$B$23,data!$BA$74+(intermediates!$B$23-data!$BA$74)*((data!A96-intermediates!$B$29)/(intermediates!$B$31-intermediates!$B$29))),MAX(intermediates!$B$23,data!$BA$74+(intermediates!$B$23-data!$BA$74)*((data!A96-intermediates!$B$29)/(intermediates!$B$31-intermediates!$B$29)))))</f>
        <v>5.6933646200761148E-2</v>
      </c>
      <c r="BB96" s="212">
        <f t="shared" si="147"/>
        <v>1090.1115946796237</v>
      </c>
      <c r="BC96" s="212">
        <f t="shared" si="166"/>
        <v>1090.1115946796237</v>
      </c>
      <c r="BD96" s="212">
        <f t="shared" si="167"/>
        <v>0</v>
      </c>
      <c r="BE96" s="214">
        <f>MAX(0,MIN(1,(data!A96-intermediates!$B$29)/(intermediates!$B$31-intermediates!$B$29)))*((intermediates!$B$38*L96)-$BE$69*1000000000)/1000000000+$BE$69</f>
        <v>823.81207104639725</v>
      </c>
      <c r="BF96" s="214">
        <f t="shared" si="99"/>
        <v>823.81207104639725</v>
      </c>
      <c r="BG96" s="214">
        <f t="shared" si="168"/>
        <v>0</v>
      </c>
      <c r="BH96" s="214">
        <f>BD96*conversions!$C$2/conversions!$C$17+BG96*conversions!$C$6/conversions!$C$10</f>
        <v>0</v>
      </c>
      <c r="BI96" s="214">
        <f>BH96*intermediates!$B$41*conversions!$C$11/(conversions!$C$2*conversions!$C$6*intermediates!$B$42)</f>
        <v>0</v>
      </c>
      <c r="BJ96" s="214">
        <f>BH96*intermediates!$B$43/(conversions!$C$1*intermediates!$B$42)</f>
        <v>0</v>
      </c>
      <c r="BK96" s="214">
        <f t="shared" si="148"/>
        <v>0</v>
      </c>
      <c r="BL96" s="214">
        <f t="shared" si="149"/>
        <v>19147.053937765362</v>
      </c>
      <c r="BM96" s="214">
        <f t="shared" si="150"/>
        <v>15231.689346779156</v>
      </c>
      <c r="BN96" s="214">
        <f>IF(A96&lt;intermediates!$B$29,MIN(BO95+intermediates!$B$33*AN95),MIN(BO95*intermediates!$B$35,BO95+intermediates!$B$37*AN95))</f>
        <v>8642.2195638625217</v>
      </c>
      <c r="BO96" s="212">
        <f>IF(A96&lt;intermediates!$B$29,MIN(BM96,BO95+intermediates!$B$33*AN95),MIN(BM96,BO95*intermediates!$B$35,BO95+intermediates!$B$37*AN95))</f>
        <v>8642.2195638625217</v>
      </c>
      <c r="BP96" s="214">
        <f t="shared" si="151"/>
        <v>0</v>
      </c>
      <c r="BQ96" s="214">
        <f t="shared" si="152"/>
        <v>6589.4697829166362</v>
      </c>
      <c r="BR96" s="212" t="str">
        <f t="shared" si="186"/>
        <v/>
      </c>
      <c r="BS96" s="212">
        <f>BP96*conversions!$C$1*intermediates!$B$42/intermediates!$B$43</f>
        <v>0</v>
      </c>
      <c r="BT96" s="214">
        <f>MIN(BT95+BS96,intermediates!$B$27*1000)</f>
        <v>0</v>
      </c>
      <c r="BU96" s="219" t="str">
        <f>IF(AND(BT96=intermediates!$B$27*1000,BT95&lt;&gt;intermediates!$B$27*1000),A96,"")</f>
        <v/>
      </c>
      <c r="BV96" s="212">
        <f>BT96*intermediates!$B$43/(conversions!$C$1*intermediates!$B$42)</f>
        <v>0</v>
      </c>
      <c r="BW96" s="214">
        <f t="shared" si="153"/>
        <v>19147.053937765362</v>
      </c>
      <c r="BX96" s="214">
        <f t="shared" si="154"/>
        <v>8642.2195638625217</v>
      </c>
      <c r="BY96" s="227">
        <f>IF(OR(BQ96&gt;0,BT96&lt;&gt;intermediates!$B$27*1000),MAX(0,(BX96-BX95)/AM95),0.000000000001)</f>
        <v>2.9986327406272398E-2</v>
      </c>
      <c r="BZ96" s="322">
        <f>BH96*intermediates!$B$49*1000000</f>
        <v>0</v>
      </c>
      <c r="CA96" s="322">
        <f>BI96*conversions!$C$1*1000000*intermediates!$B$50</f>
        <v>0</v>
      </c>
      <c r="CB96" s="322">
        <f>BT96*1000000*intermediates!$B$49</f>
        <v>0</v>
      </c>
      <c r="CC96" s="214">
        <f>BW96*conversions!$C$1*1000000/L96</f>
        <v>23821.401066979135</v>
      </c>
      <c r="CD96" s="173">
        <f t="shared" si="100"/>
        <v>2040</v>
      </c>
      <c r="CE96" s="173"/>
      <c r="CF96" s="173"/>
      <c r="CG96" s="173"/>
      <c r="CH96" s="173"/>
      <c r="CI96" s="173">
        <f t="shared" si="155"/>
        <v>6589.4697829166362</v>
      </c>
      <c r="CJ96" s="173">
        <f t="shared" si="156"/>
        <v>1468.0006393525205</v>
      </c>
      <c r="CK96" s="173">
        <f t="shared" si="157"/>
        <v>1090.1115946796237</v>
      </c>
      <c r="CL96" s="173">
        <f t="shared" si="158"/>
        <v>1357.252356954061</v>
      </c>
      <c r="CM96" s="173"/>
      <c r="CN96" s="173"/>
      <c r="CO96" s="329">
        <f t="shared" si="169"/>
        <v>8642.2195638625217</v>
      </c>
      <c r="CP96" s="174">
        <f t="shared" si="159"/>
        <v>22.657580081651975</v>
      </c>
      <c r="CQ96" s="228">
        <f t="shared" si="160"/>
        <v>6.333333333333333</v>
      </c>
      <c r="CR96" s="228">
        <f t="shared" si="170"/>
        <v>63.333333333333336</v>
      </c>
      <c r="CS96" s="214">
        <f t="shared" ca="1" si="161"/>
        <v>35.232689966770295</v>
      </c>
      <c r="CT96" s="190">
        <f t="shared" ca="1" si="162"/>
        <v>3.7572003404878607</v>
      </c>
      <c r="CU96" s="190">
        <f t="shared" ca="1" si="187"/>
        <v>35.232689966770295</v>
      </c>
      <c r="CV96" s="198">
        <f t="shared" si="174"/>
        <v>3069.3349328017543</v>
      </c>
      <c r="CW96" s="198">
        <f t="shared" ca="1" si="171"/>
        <v>3255.2010881524761</v>
      </c>
      <c r="CX96" s="198">
        <f t="shared" ca="1" si="172"/>
        <v>3190.2887521362545</v>
      </c>
      <c r="CY96" s="198">
        <f t="shared" ca="1" si="173"/>
        <v>-64.912336016223151</v>
      </c>
      <c r="CZ96" s="199">
        <f ca="1">IF(CX96&lt;intermediates!$B$55,intermediates!$B$56+(CX96-intermediates!$B$55)*intermediates!$B$53,intermediates!$B$56+(data!CX96-intermediates!$B$55)*intermediates!$B$58)</f>
        <v>1.7039698150864893</v>
      </c>
      <c r="DG96" s="201">
        <f>IF(A96&gt;MAX(intermediates!B$31,intermediates!$B$32),DG95,DG95+intermediates!$B$60*DG$73)</f>
        <v>17302279178750</v>
      </c>
      <c r="DH96" s="201">
        <f>IF(A96&gt;MAX(intermediates!B$31,intermediates!$B$32),DH95,DH95+intermediates!$B$61*DH$73)</f>
        <v>30871900823125</v>
      </c>
      <c r="DI96" s="201">
        <f>IF(A96&gt;MAX(intermediates!B$31,intermediates!$B$32),DI95,DI95+intermediates!$B$62*DI$73)</f>
        <v>39417679259000</v>
      </c>
      <c r="DJ96" s="221"/>
      <c r="EE96" s="218"/>
      <c r="EF96" s="212">
        <f>$EF$69+intermediates!$B$90*(A96-2013)*intermediates!$B$92+intermediates!$B$91*intermediates!$B$92*(A96-2013)^2</f>
        <v>2974.3469185492186</v>
      </c>
      <c r="EH96" s="212">
        <f>IF(A96&lt;intermediates!$B$29,data!EH95,IF(A96&lt;intermediates!$B$31,data!$EH$69+(intermediates!$B$93-data!$EH$69)*(data!A96-intermediates!$B$29)/(intermediates!$B$31-intermediates!$B$29),intermediates!$B$93))</f>
        <v>8.0100112954795744E-2</v>
      </c>
      <c r="EI96" s="212">
        <f t="shared" si="128"/>
        <v>8.0100112954795744E-2</v>
      </c>
      <c r="EN96" s="218"/>
      <c r="EO96" s="212">
        <f t="shared" si="129"/>
        <v>2736.1013944066772</v>
      </c>
      <c r="EQ96" s="212">
        <f t="shared" si="130"/>
        <v>238.2455241425414</v>
      </c>
      <c r="ET96" s="214">
        <f>IF(A96&lt;intermediates!$B$29,ET95+intermediates!$B$63,ET95+intermediates!$B$63*intermediates!$B$67)</f>
        <v>1055.0924763031858</v>
      </c>
      <c r="EU96" s="215">
        <f t="shared" si="131"/>
        <v>1055.0924763031858</v>
      </c>
      <c r="EV96" s="216">
        <f>data!EU96*conversions!$C$13</f>
        <v>1.227072549940605</v>
      </c>
      <c r="EX96" s="212">
        <f>intermediates!$B$64+intermediates!$B$64*(EXP(-(data!A96-intermediates!$B$66)/intermediates!$B$65)-1)</f>
        <v>1.32339501530018E-2</v>
      </c>
      <c r="EY96" s="217">
        <f>IF(A96&lt;intermediates!$B$29,data!EX96,data!EY95+(data!EX96-data!EX95)*intermediates!$B$68)</f>
        <v>1.32339501530018E-2</v>
      </c>
      <c r="EZ96" s="217">
        <f t="shared" si="132"/>
        <v>1.32339501530018E-2</v>
      </c>
      <c r="FB96" s="212">
        <f>intermediates!$B$94+intermediates!$B$95+(intermediates!$B$95*(EXP(-(data!A96-intermediates!$B$97)/intermediates!$B$96)-1))</f>
        <v>1.6669305269420969</v>
      </c>
      <c r="FC96" s="217">
        <f>IF(A96&lt;intermediates!$B$29,data!FB96,data!FC95+(data!FB96-data!FB95)*intermediates!$B$68)</f>
        <v>1.6669305269420969</v>
      </c>
      <c r="FD96" s="212">
        <f t="shared" si="133"/>
        <v>1.6669305269420969</v>
      </c>
      <c r="FF96" s="184">
        <f>intermediates!$B$98+intermediates!$B$99*EXP(-(A96-intermediates!$B$101)/intermediates!$B$100)</f>
        <v>0.88300408625011984</v>
      </c>
      <c r="FG96" s="184">
        <f t="shared" si="101"/>
        <v>0.88300408625011984</v>
      </c>
      <c r="FI96" s="184">
        <f>intermediates!$B$102+intermediates!$B$103*EXP(-(A96-intermediates!$B$105)/intermediates!$B$104)</f>
        <v>1.9126325085615934E-2</v>
      </c>
      <c r="FJ96" s="184">
        <f t="shared" si="134"/>
        <v>1.9126325085615934E-2</v>
      </c>
      <c r="FL96" s="184">
        <f>intermediates!$B$106</f>
        <v>4.5616870531049965E-2</v>
      </c>
      <c r="FM96" s="184">
        <f t="shared" si="135"/>
        <v>4.5616870531049965E-2</v>
      </c>
      <c r="FN96" s="218">
        <f>IF(A96&lt;intermediates!$B$29,0,IF(A96&lt;intermediates!$B$31,(data!A96-intermediates!$B$29)/(intermediates!$B$31-intermediates!$B$29),1))</f>
        <v>0.6333333333333333</v>
      </c>
      <c r="FO96" s="218">
        <f t="shared" si="176"/>
        <v>815453242707079.63</v>
      </c>
      <c r="FP96" s="218">
        <f t="shared" si="177"/>
        <v>923498832457378</v>
      </c>
      <c r="FQ96" s="218">
        <f t="shared" si="178"/>
        <v>12221537515096.301</v>
      </c>
      <c r="FR96" s="218">
        <f t="shared" si="179"/>
        <v>1539408395418588.3</v>
      </c>
      <c r="FS96" s="218">
        <f t="shared" si="180"/>
        <v>1459026985778.8579</v>
      </c>
      <c r="FT96" s="218">
        <f>intermediates!$B$69*data!EU96/intermediates!$B$71</f>
        <v>2.6855625272489738</v>
      </c>
      <c r="FU96" s="218">
        <f>BC96*conversions!$C$1*1000000</f>
        <v>12717968604595.609</v>
      </c>
      <c r="FV96" s="218">
        <f t="shared" si="184"/>
        <v>4735681435659.4385</v>
      </c>
      <c r="FX96" s="221"/>
      <c r="FY96" s="221"/>
      <c r="FZ96" s="221"/>
      <c r="GA96" s="218">
        <f t="shared" si="102"/>
        <v>823.81207104639725</v>
      </c>
      <c r="GB96" s="218">
        <f>GA96*1000000*10000*intermediates!$B$71/(intermediates!$B$72*data!EU96)</f>
        <v>3834448382264.4897</v>
      </c>
      <c r="GC96" s="218">
        <f t="shared" si="181"/>
        <v>8875973050069.3906</v>
      </c>
      <c r="GD96" s="218">
        <f t="shared" si="144"/>
        <v>18905129853772.176</v>
      </c>
      <c r="GE96" s="218">
        <f t="shared" si="182"/>
        <v>20213838343830.453</v>
      </c>
      <c r="GF96" s="218">
        <f t="shared" si="183"/>
        <v>386616443392.18964</v>
      </c>
      <c r="GG96" s="218">
        <f t="shared" si="136"/>
        <v>922092046666.08728</v>
      </c>
      <c r="GH96" s="218">
        <f t="shared" si="103"/>
        <v>9648846765901.625</v>
      </c>
      <c r="GI96" s="218">
        <f t="shared" si="145"/>
        <v>686153269946.62305</v>
      </c>
      <c r="GJ96" s="218">
        <f>ET96*intermediates!$B$73/intermediates!$B$71</f>
        <v>4.0283437908734614</v>
      </c>
      <c r="GK96" s="218">
        <f>CL96*conversions!$C$1*1000000/data!GJ96</f>
        <v>3930799269666.4326</v>
      </c>
      <c r="GL96" s="218">
        <f>MIN(1,FN96)*(intermediates!$B$75-data!$GL$69)+data!$GL$69</f>
        <v>0.64808629623088509</v>
      </c>
      <c r="GM96" s="218">
        <f>GL96*intermediates!$B$74*(FS96+GC96+GK96+GG96+GF96+GB96+FV96)</f>
        <v>2347171314715.2163</v>
      </c>
      <c r="GN96" s="218">
        <f>MIN(1,FN96)*intermediates!$B$76</f>
        <v>7.5999999999999998E-2</v>
      </c>
      <c r="GO96" s="218">
        <f t="shared" si="137"/>
        <v>2013377478544.1196</v>
      </c>
      <c r="GP96" s="218">
        <f>IF(A96&gt;intermediates!$B$29,MIN(1,(A96-intermediates!$B$29)/(intermediates!$B$31-intermediates!$B$29))*intermediates!$B$77,0)</f>
        <v>9.4999999999999987E-2</v>
      </c>
      <c r="GQ96" s="218">
        <f>IF(AND(A96&gt;intermediates!$B$29+intermediates!$B$30,data!GP96&lt;intermediates!$B$77),1,0)</f>
        <v>0</v>
      </c>
      <c r="GR96" s="218">
        <f t="shared" si="104"/>
        <v>4576547100178.124</v>
      </c>
      <c r="GS96" s="218">
        <f t="shared" si="105"/>
        <v>45303271022030.648</v>
      </c>
      <c r="GT96" s="218">
        <f t="shared" si="97"/>
        <v>87591859260875</v>
      </c>
      <c r="GU96" s="218">
        <f t="shared" si="106"/>
        <v>43994226359178.125</v>
      </c>
      <c r="GV96" s="218">
        <f t="shared" si="107"/>
        <v>26491808928212.105</v>
      </c>
      <c r="GW96" s="218">
        <f t="shared" si="108"/>
        <v>2870908979844.3516</v>
      </c>
      <c r="GX96" s="218">
        <f>MIN(intermediates!$B$88,FN96*intermediates!$B$87*GO96)</f>
        <v>637569534872.30457</v>
      </c>
      <c r="GY96" s="218">
        <f t="shared" si="109"/>
        <v>1375807943671.8149</v>
      </c>
      <c r="GZ96" s="218">
        <f>MIN(intermediates!$B$88-GX96,intermediates!$B$87*data!GW96*FN96)</f>
        <v>909121176950.7113</v>
      </c>
      <c r="HA96" s="218">
        <f t="shared" si="138"/>
        <v>1961787802893.6401</v>
      </c>
      <c r="HB96" s="218">
        <f t="shared" si="139"/>
        <v>1546690711823.0159</v>
      </c>
      <c r="HC96" s="218">
        <f t="shared" si="110"/>
        <v>15559133261661.756</v>
      </c>
      <c r="HD96" s="218">
        <f>HC96*intermediates!$B$79/(10000*1000000000)</f>
        <v>1032.725091857264</v>
      </c>
      <c r="HE96" s="218">
        <f>(GV96*intermediates!$B$80+GV96*GL96*intermediates!$B$82)/(10000*1000000000)</f>
        <v>920.23068788146804</v>
      </c>
      <c r="HF96" s="218">
        <f>GU96*intermediates!$B$78/(10000*1000000000)</f>
        <v>4430.1901050251981</v>
      </c>
      <c r="HG96" s="218">
        <f>HB96*intermediates!$B$81/(10000*1000000000)</f>
        <v>388.7816049775189</v>
      </c>
      <c r="HH96" s="218">
        <f t="shared" si="111"/>
        <v>21.703189892336923</v>
      </c>
      <c r="HI96" s="218">
        <f t="shared" si="112"/>
        <v>21.907076205902513</v>
      </c>
      <c r="HJ96" s="218">
        <f t="shared" si="113"/>
        <v>-35.839657146046306</v>
      </c>
      <c r="HK96" s="218">
        <f ca="1">SUM(HJ96:INDIRECT(ADDRESS(MAX(CELL("row",HJ96)-intermediates!$B$83,69),CELL("col",HJ96))))/intermediates!$B$83+SUM(HH96:INDIRECT(ADDRESS(MAX(CELL("row",HH96)-intermediates!$B$84,69),CELL("col",HH96))))/intermediates!$B$84+SUM(HI96:INDIRECT(ADDRESS(MAX(CELL("row",HI96)-intermediates!$B$85,69),CELL("col",HI96))))/intermediates!$B$85</f>
        <v>-18.908443218451652</v>
      </c>
      <c r="HL96" s="218">
        <f t="shared" ca="1" si="163"/>
        <v>-184.28715266783217</v>
      </c>
      <c r="HM96" s="188">
        <f t="shared" si="114"/>
        <v>2040</v>
      </c>
      <c r="HQ96" s="185">
        <f t="shared" si="115"/>
        <v>1168.5094262582936</v>
      </c>
      <c r="HR96" s="185">
        <f t="shared" si="116"/>
        <v>505.01122449869871</v>
      </c>
      <c r="HS96" s="185">
        <f t="shared" si="117"/>
        <v>408.904082572606</v>
      </c>
      <c r="HT96" s="185">
        <f t="shared" si="118"/>
        <v>419.17890369169504</v>
      </c>
      <c r="HU96" s="185">
        <f t="shared" si="119"/>
        <v>250.30143514868701</v>
      </c>
      <c r="HV96" s="185">
        <f t="shared" si="120"/>
        <v>214.70579041938515</v>
      </c>
      <c r="HW96" s="185">
        <f t="shared" si="121"/>
        <v>488.0412009206633</v>
      </c>
      <c r="HX96" s="185">
        <f t="shared" si="122"/>
        <v>73.171117558771869</v>
      </c>
      <c r="HY96" s="185">
        <f t="shared" si="123"/>
        <v>1303.3000022511271</v>
      </c>
      <c r="HZ96" s="185">
        <f t="shared" si="140"/>
        <v>3454.6520635100292</v>
      </c>
      <c r="IA96" s="185">
        <f t="shared" si="141"/>
        <v>4831.1231833199281</v>
      </c>
      <c r="IB96" s="185">
        <f t="shared" si="124"/>
        <v>2318.0906127747185</v>
      </c>
      <c r="IC96" s="185">
        <f t="shared" si="175"/>
        <v>5137.2757991648778</v>
      </c>
      <c r="ID96" s="185">
        <f t="shared" si="125"/>
        <v>4203.4859692188329</v>
      </c>
      <c r="IE96" s="184">
        <f t="shared" si="142"/>
        <v>-0.40029245915802208</v>
      </c>
      <c r="IF96" s="184">
        <f t="shared" si="143"/>
        <v>-7.2833029082726888E-2</v>
      </c>
    </row>
    <row r="97" spans="1:240" x14ac:dyDescent="0.3">
      <c r="A97" s="184">
        <v>2041</v>
      </c>
      <c r="E97" s="207">
        <v>8743819.8650000002</v>
      </c>
      <c r="F97" s="207">
        <v>9257745.4829999991</v>
      </c>
      <c r="G97" s="207">
        <v>9773235.6559999995</v>
      </c>
      <c r="I97" s="207">
        <f t="shared" si="164"/>
        <v>8743819865</v>
      </c>
      <c r="J97" s="207">
        <f t="shared" si="164"/>
        <v>9257745483</v>
      </c>
      <c r="K97" s="207">
        <f t="shared" si="164"/>
        <v>9773235656</v>
      </c>
      <c r="L97" s="187">
        <f>IF(intermediates!$B$4&gt;=2,(intermediates!$B$4-2)*K97+(1-(intermediates!$B$4-2))*J97,(intermediates!$B$4-1)*J97+(1-(intermediates!$B$4-1))*I97)</f>
        <v>9448095104.5186958</v>
      </c>
      <c r="AJ97" s="184">
        <f>IF(intermediates!$B$46=0,$AJ$74+(intermediates!$B$15-$AJ$74)*MIN(1,(data!A97-data!$A$74)/(intermediates!$B$32-data!$A$74)),IF(A97&lt;2021,$AJ$74+(intermediates!$B$15-$AJ$74)*MIN(1,(data!A97-data!$A$74)/(intermediates!$B$32-data!$A$74)),intermediates!$B$47+(intermediates!$B$15-intermediates!$B$47)*MIN(1,(data!A97-$A$77)/(intermediates!$B$32-$A$77))))</f>
        <v>23940.68769807983</v>
      </c>
      <c r="AK97" s="192">
        <f t="shared" si="146"/>
        <v>23940.68769807983</v>
      </c>
      <c r="AL97" s="192">
        <f t="shared" si="185"/>
        <v>226193894239039</v>
      </c>
      <c r="AM97" s="192">
        <f>data!AL97/(1000000*conversions!$C$1)</f>
        <v>19388.048077631916</v>
      </c>
      <c r="AN97" s="192">
        <f>IF(intermediates!$B$13=1,($AJ$74+(27400-$AJ$74)*MIN(1,(data!A97-data!$A$74)/(intermediates!$B$32-data!$A$74)))*L97/(1000000*conversions!$C$1),data!AM97)</f>
        <v>19388.048077631916</v>
      </c>
      <c r="AV97" s="214">
        <f>IF(A97&lt;intermediates!$B$29,0,IF(A97&lt;intermediates!$B$31,(data!A97-intermediates!$B$29)*intermediates!$B$26/(intermediates!$B$31-intermediates!$B$29),intermediates!$B$26))</f>
        <v>6.666666666666667</v>
      </c>
      <c r="AW97" s="212">
        <f>MIN(AW96+intermediates!$B$16,intermediates!$B$17*data!$AW$74)</f>
        <v>1491.6009005397298</v>
      </c>
      <c r="AX97" s="212">
        <f>AV97*1000/conversions!$C$16/intermediates!$B$40</f>
        <v>5458.0389978708545</v>
      </c>
      <c r="AY97" s="212">
        <f>AX97*(1-intermediates!$B$39)*intermediates!$B$28/(conversions!$C$2)</f>
        <v>1428.6866915305909</v>
      </c>
      <c r="AZ97" s="213">
        <f>IF(A97&lt;intermediates!$B$29,0,MIN(intermediates!$B$25,intermediates!$B$25*(A97-intermediates!$B$29)/(intermediates!$B$31-intermediates!$B$29)))</f>
        <v>0</v>
      </c>
      <c r="BA97" s="212">
        <f>IF(A97&lt;intermediates!$B$29,data!$BA$74,IF(intermediates!$B$23&gt;data!$BA$74,MIN(intermediates!$B$23,data!$BA$74+(intermediates!$B$23-data!$BA$74)*((data!A97-intermediates!$B$29)/(intermediates!$B$31-intermediates!$B$29))),MAX(intermediates!$B$23,data!$BA$74+(intermediates!$B$23-data!$BA$74)*((data!A97-intermediates!$B$29)/(intermediates!$B$31-intermediates!$B$29)))))</f>
        <v>5.9030587455237413E-2</v>
      </c>
      <c r="BB97" s="212">
        <f t="shared" si="147"/>
        <v>1144.4878676329984</v>
      </c>
      <c r="BC97" s="212">
        <f t="shared" si="166"/>
        <v>1144.4878676329984</v>
      </c>
      <c r="BD97" s="212">
        <f t="shared" si="167"/>
        <v>0</v>
      </c>
      <c r="BE97" s="214">
        <f>MAX(0,MIN(1,(data!A97-intermediates!$B$29)/(intermediates!$B$31-intermediates!$B$29)))*((intermediates!$B$38*L97)-$BE$69*1000000000)/1000000000+$BE$69</f>
        <v>861.37422903986567</v>
      </c>
      <c r="BF97" s="214">
        <f t="shared" si="99"/>
        <v>861.37422903986567</v>
      </c>
      <c r="BG97" s="214">
        <f t="shared" si="168"/>
        <v>0</v>
      </c>
      <c r="BH97" s="214">
        <f>BD97*conversions!$C$2/conversions!$C$17+BG97*conversions!$C$6/conversions!$C$10</f>
        <v>0</v>
      </c>
      <c r="BI97" s="214">
        <f>BH97*intermediates!$B$41*conversions!$C$11/(conversions!$C$2*conversions!$C$6*intermediates!$B$42)</f>
        <v>0</v>
      </c>
      <c r="BJ97" s="214">
        <f>BH97*intermediates!$B$43/(conversions!$C$1*intermediates!$B$42)</f>
        <v>0</v>
      </c>
      <c r="BK97" s="214">
        <f t="shared" si="148"/>
        <v>0</v>
      </c>
      <c r="BL97" s="214">
        <f t="shared" si="149"/>
        <v>19388.048077631916</v>
      </c>
      <c r="BM97" s="214">
        <f t="shared" si="150"/>
        <v>15323.272617928596</v>
      </c>
      <c r="BN97" s="214">
        <f>IF(A97&lt;intermediates!$B$29,MIN(BO96+intermediates!$B$33*AN96),MIN(BO96*intermediates!$B$35,BO96+intermediates!$B$37*AN96))</f>
        <v>9216.3693921059112</v>
      </c>
      <c r="BO97" s="212">
        <f>IF(A97&lt;intermediates!$B$29,MIN(BM97,BO96+intermediates!$B$33*AN96),MIN(BM97,BO96*intermediates!$B$35,BO96+intermediates!$B$37*AN96))</f>
        <v>9216.3693921059112</v>
      </c>
      <c r="BP97" s="214">
        <f t="shared" si="151"/>
        <v>0</v>
      </c>
      <c r="BQ97" s="214">
        <f t="shared" si="152"/>
        <v>6106.9032258226853</v>
      </c>
      <c r="BR97" s="212" t="str">
        <f t="shared" si="186"/>
        <v/>
      </c>
      <c r="BS97" s="212">
        <f>BP97*conversions!$C$1*intermediates!$B$42/intermediates!$B$43</f>
        <v>0</v>
      </c>
      <c r="BT97" s="214">
        <f>MIN(BT96+BS97,intermediates!$B$27*1000)</f>
        <v>0</v>
      </c>
      <c r="BU97" s="219" t="str">
        <f>IF(AND(BT97=intermediates!$B$27*1000,BT96&lt;&gt;intermediates!$B$27*1000),A97,"")</f>
        <v/>
      </c>
      <c r="BV97" s="212">
        <f>BT97*intermediates!$B$43/(conversions!$C$1*intermediates!$B$42)</f>
        <v>0</v>
      </c>
      <c r="BW97" s="214">
        <f t="shared" si="153"/>
        <v>19388.048077631916</v>
      </c>
      <c r="BX97" s="214">
        <f t="shared" si="154"/>
        <v>9216.3693921059112</v>
      </c>
      <c r="BY97" s="227">
        <f>IF(OR(BQ97&gt;0,BT97&lt;&gt;intermediates!$B$27*1000),MAX(0,(BX97-BX96)/AM96),0.000000000001)</f>
        <v>2.9986327406272408E-2</v>
      </c>
      <c r="BZ97" s="322">
        <f>BH97*intermediates!$B$49*1000000</f>
        <v>0</v>
      </c>
      <c r="CA97" s="322">
        <f>BI97*conversions!$C$1*1000000*intermediates!$B$50</f>
        <v>0</v>
      </c>
      <c r="CB97" s="322">
        <f>BT97*1000000*intermediates!$B$49</f>
        <v>0</v>
      </c>
      <c r="CC97" s="214">
        <f>BW97*conversions!$C$1*1000000/L97</f>
        <v>23940.68769807983</v>
      </c>
      <c r="CD97" s="173">
        <f t="shared" si="100"/>
        <v>2041</v>
      </c>
      <c r="CE97" s="173"/>
      <c r="CF97" s="173"/>
      <c r="CG97" s="173"/>
      <c r="CH97" s="173"/>
      <c r="CI97" s="173">
        <f t="shared" si="155"/>
        <v>6106.9032258226853</v>
      </c>
      <c r="CJ97" s="173">
        <f t="shared" si="156"/>
        <v>1491.6009005397298</v>
      </c>
      <c r="CK97" s="173">
        <f t="shared" si="157"/>
        <v>1144.4878676329984</v>
      </c>
      <c r="CL97" s="173">
        <f t="shared" si="158"/>
        <v>1428.6866915305909</v>
      </c>
      <c r="CM97" s="173"/>
      <c r="CN97" s="173"/>
      <c r="CO97" s="329">
        <f t="shared" si="169"/>
        <v>9216.3693921059112</v>
      </c>
      <c r="CP97" s="174">
        <f t="shared" si="159"/>
        <v>20.998297806706368</v>
      </c>
      <c r="CQ97" s="228">
        <f t="shared" si="160"/>
        <v>6.666666666666667</v>
      </c>
      <c r="CR97" s="228">
        <f t="shared" si="170"/>
        <v>70</v>
      </c>
      <c r="CS97" s="214">
        <f t="shared" ca="1" si="161"/>
        <v>33.74977054318245</v>
      </c>
      <c r="CT97" s="190">
        <f t="shared" ca="1" si="162"/>
        <v>3.5721243456833012</v>
      </c>
      <c r="CU97" s="190">
        <f t="shared" ca="1" si="187"/>
        <v>33.749770543182443</v>
      </c>
      <c r="CV97" s="198">
        <f t="shared" si="174"/>
        <v>3090.3332306084608</v>
      </c>
      <c r="CW97" s="198">
        <f t="shared" ca="1" si="171"/>
        <v>3295.6175253623255</v>
      </c>
      <c r="CX97" s="198">
        <f t="shared" ca="1" si="172"/>
        <v>3224.0385226794369</v>
      </c>
      <c r="CY97" s="198">
        <f t="shared" ca="1" si="173"/>
        <v>-71.579002682889822</v>
      </c>
      <c r="CZ97" s="199">
        <f ca="1">IF(CX97&lt;intermediates!$B$55,intermediates!$B$56+(CX97-intermediates!$B$55)*intermediates!$B$53,intermediates!$B$56+(data!CX97-intermediates!$B$55)*intermediates!$B$58)</f>
        <v>1.7223229301055358</v>
      </c>
      <c r="DG97" s="201">
        <f>IF(A97&gt;MAX(intermediates!B$31,intermediates!$B$32),DG96,DG96+intermediates!$B$60*DG$73)</f>
        <v>17375710120000</v>
      </c>
      <c r="DH97" s="201">
        <f>IF(A97&gt;MAX(intermediates!B$31,intermediates!$B$32),DH96,DH96+intermediates!$B$61*DH$73)</f>
        <v>30793973540000</v>
      </c>
      <c r="DI97" s="201">
        <f>IF(A97&gt;MAX(intermediates!B$31,intermediates!$B$32),DI96,DI96+intermediates!$B$62*DI$73)</f>
        <v>39392737652000</v>
      </c>
      <c r="DJ97" s="221"/>
      <c r="EE97" s="218"/>
      <c r="EF97" s="212">
        <f>$EF$69+intermediates!$B$90*(A97-2013)*intermediates!$B$92+intermediates!$B$91*intermediates!$B$92*(A97-2013)^2</f>
        <v>2980.0796085492184</v>
      </c>
      <c r="EH97" s="212">
        <f>IF(A97&lt;intermediates!$B$29,data!EH96,IF(A97&lt;intermediates!$B$31,data!$EH$69+(intermediates!$B$93-data!$EH$69)*(data!A97-intermediates!$B$29)/(intermediates!$B$31-intermediates!$B$29),intermediates!$B$93))</f>
        <v>7.511120481807837E-2</v>
      </c>
      <c r="EI97" s="212">
        <f t="shared" si="128"/>
        <v>7.511120481807837E-2</v>
      </c>
      <c r="EN97" s="218"/>
      <c r="EO97" s="212">
        <f t="shared" si="129"/>
        <v>2756.2422386972989</v>
      </c>
      <c r="EQ97" s="212">
        <f t="shared" si="130"/>
        <v>223.83736985191945</v>
      </c>
      <c r="ET97" s="214">
        <f>IF(A97&lt;intermediates!$B$29,ET96+intermediates!$B$63,ET96+intermediates!$B$63*intermediates!$B$67)</f>
        <v>1065.0680656946286</v>
      </c>
      <c r="EU97" s="215">
        <f t="shared" si="131"/>
        <v>1065.0680656946286</v>
      </c>
      <c r="EV97" s="216">
        <f>data!EU97*conversions!$C$13</f>
        <v>1.2386741604028531</v>
      </c>
      <c r="EX97" s="212">
        <f>intermediates!$B$64+intermediates!$B$64*(EXP(-(data!A97-intermediates!$B$66)/intermediates!$B$65)-1)</f>
        <v>1.2987924581354509E-2</v>
      </c>
      <c r="EY97" s="217">
        <f>IF(A97&lt;intermediates!$B$29,data!EX97,data!EY96+(data!EX97-data!EX96)*intermediates!$B$68)</f>
        <v>1.2987924581354509E-2</v>
      </c>
      <c r="EZ97" s="217">
        <f t="shared" si="132"/>
        <v>1.2987924581354509E-2</v>
      </c>
      <c r="FB97" s="212">
        <f>intermediates!$B$94+intermediates!$B$95+(intermediates!$B$95*(EXP(-(data!A97-intermediates!$B$97)/intermediates!$B$96)-1))</f>
        <v>1.6623782549345099</v>
      </c>
      <c r="FC97" s="217">
        <f>IF(A97&lt;intermediates!$B$29,data!FB97,data!FC96+(data!FB97-data!FB96)*intermediates!$B$68)</f>
        <v>1.6623782549345099</v>
      </c>
      <c r="FD97" s="212">
        <f t="shared" si="133"/>
        <v>1.6623782549345099</v>
      </c>
      <c r="FF97" s="184">
        <f>intermediates!$B$98+intermediates!$B$99*EXP(-(A97-intermediates!$B$101)/intermediates!$B$100)</f>
        <v>0.88359477710128065</v>
      </c>
      <c r="FG97" s="184">
        <f t="shared" si="101"/>
        <v>0.88359477710128065</v>
      </c>
      <c r="FI97" s="184">
        <f>intermediates!$B$102+intermediates!$B$103*EXP(-(A97-intermediates!$B$105)/intermediates!$B$104)</f>
        <v>1.8955255967436125E-2</v>
      </c>
      <c r="FJ97" s="184">
        <f t="shared" si="134"/>
        <v>1.8955255967436125E-2</v>
      </c>
      <c r="FL97" s="184">
        <f>intermediates!$B$106</f>
        <v>4.5616870531049965E-2</v>
      </c>
      <c r="FM97" s="184">
        <f t="shared" si="135"/>
        <v>4.5616870531049965E-2</v>
      </c>
      <c r="FN97" s="218">
        <f>IF(A97&lt;intermediates!$B$29,0,IF(A97&lt;intermediates!$B$31,(data!A97-intermediates!$B$29)/(intermediates!$B$31-intermediates!$B$29),1))</f>
        <v>0.66666666666666663</v>
      </c>
      <c r="FO97" s="218">
        <f t="shared" si="176"/>
        <v>771915416781785.13</v>
      </c>
      <c r="FP97" s="218">
        <f t="shared" si="177"/>
        <v>873607944259391.63</v>
      </c>
      <c r="FQ97" s="218">
        <f t="shared" si="178"/>
        <v>11346354093713.133</v>
      </c>
      <c r="FR97" s="218">
        <f t="shared" si="179"/>
        <v>1452266849874852</v>
      </c>
      <c r="FS97" s="218">
        <f t="shared" si="180"/>
        <v>1363543698897.4932</v>
      </c>
      <c r="FT97" s="218">
        <f>intermediates!$B$69*data!EU97/intermediates!$B$71</f>
        <v>2.710953731961899</v>
      </c>
      <c r="FU97" s="218">
        <f>BC97*conversions!$C$1*1000000</f>
        <v>13352358455718.314</v>
      </c>
      <c r="FV97" s="218">
        <f t="shared" si="184"/>
        <v>4925336164278.7246</v>
      </c>
      <c r="FX97" s="221"/>
      <c r="FY97" s="221"/>
      <c r="FZ97" s="221"/>
      <c r="GA97" s="218">
        <f t="shared" si="102"/>
        <v>861.37422903986567</v>
      </c>
      <c r="GB97" s="218">
        <f>GA97*1000000*10000*intermediates!$B$71/(intermediates!$B$72*data!EU97)</f>
        <v>3971730589148.1172</v>
      </c>
      <c r="GC97" s="218">
        <f t="shared" si="181"/>
        <v>8924361239430.9258</v>
      </c>
      <c r="GD97" s="218">
        <f t="shared" si="144"/>
        <v>19184971691755.258</v>
      </c>
      <c r="GE97" s="218">
        <f t="shared" si="182"/>
        <v>20509300861371.23</v>
      </c>
      <c r="GF97" s="218">
        <f t="shared" si="183"/>
        <v>388759047540.44989</v>
      </c>
      <c r="GG97" s="218">
        <f t="shared" si="136"/>
        <v>935570122075.52295</v>
      </c>
      <c r="GH97" s="218">
        <f t="shared" si="103"/>
        <v>9649118127412.8691</v>
      </c>
      <c r="GI97" s="218">
        <f t="shared" si="145"/>
        <v>638786810915.54883</v>
      </c>
      <c r="GJ97" s="218">
        <f>ET97*intermediates!$B$73/intermediates!$B$71</f>
        <v>4.0664305979428486</v>
      </c>
      <c r="GK97" s="218">
        <f>CL97*conversions!$C$1*1000000/data!GJ97</f>
        <v>4098929269719.332</v>
      </c>
      <c r="GL97" s="218">
        <f>MIN(1,FN97)*(intermediates!$B$75-data!$GL$69)+data!$GL$69</f>
        <v>0.68007845111898646</v>
      </c>
      <c r="GM97" s="218">
        <f>GL97*intermediates!$B$74*(FS97+GC97+GK97+GG97+GF97+GB97+FV97)</f>
        <v>2510329054849.7461</v>
      </c>
      <c r="GN97" s="218">
        <f>MIN(1,FN97)*intermediates!$B$76</f>
        <v>7.9999999999999988E-2</v>
      </c>
      <c r="GO97" s="218">
        <f t="shared" si="137"/>
        <v>2169484734875.2246</v>
      </c>
      <c r="GP97" s="218">
        <f>IF(A97&gt;intermediates!$B$29,MIN(1,(A97-intermediates!$B$29)/(intermediates!$B$31-intermediates!$B$29))*intermediates!$B$77,0)</f>
        <v>9.9999999999999992E-2</v>
      </c>
      <c r="GQ97" s="218">
        <f>IF(AND(A97&gt;intermediates!$B$29+intermediates!$B$30,data!GP97&lt;intermediates!$B$77),1,0)</f>
        <v>0</v>
      </c>
      <c r="GR97" s="218">
        <f t="shared" si="104"/>
        <v>4816968366000</v>
      </c>
      <c r="GS97" s="218">
        <f t="shared" si="105"/>
        <v>45451366380528.68</v>
      </c>
      <c r="GT97" s="218">
        <f t="shared" si="97"/>
        <v>87562421312000</v>
      </c>
      <c r="GU97" s="218">
        <f t="shared" si="106"/>
        <v>44209706018000</v>
      </c>
      <c r="GV97" s="218">
        <f t="shared" si="107"/>
        <v>27118559185940.313</v>
      </c>
      <c r="GW97" s="218">
        <f t="shared" si="108"/>
        <v>2718317279471.3203</v>
      </c>
      <c r="GX97" s="218">
        <f>MIN(intermediates!$B$88,FN97*intermediates!$B$87*GO97)</f>
        <v>723161578291.74146</v>
      </c>
      <c r="GY97" s="218">
        <f t="shared" si="109"/>
        <v>1446323156583.4832</v>
      </c>
      <c r="GZ97" s="218">
        <f>MIN(intermediates!$B$88-GX97,intermediates!$B$87*data!GW97*FN97)</f>
        <v>906105759823.77344</v>
      </c>
      <c r="HA97" s="218">
        <f t="shared" si="138"/>
        <v>1812211519647.5469</v>
      </c>
      <c r="HB97" s="218">
        <f t="shared" si="139"/>
        <v>1629267338115.5149</v>
      </c>
      <c r="HC97" s="218">
        <f t="shared" si="110"/>
        <v>14604888769944.162</v>
      </c>
      <c r="HD97" s="218">
        <f>HC97*intermediates!$B$79/(10000*1000000000)</f>
        <v>969.38787288816002</v>
      </c>
      <c r="HE97" s="218">
        <f>(GV97*intermediates!$B$80+GV97*GL97*intermediates!$B$82)/(10000*1000000000)</f>
        <v>948.28024175475321</v>
      </c>
      <c r="HF97" s="218">
        <f>GU97*intermediates!$B$78/(10000*1000000000)</f>
        <v>4451.8887671303837</v>
      </c>
      <c r="HG97" s="218">
        <f>HB97*intermediates!$B$81/(10000*1000000000)</f>
        <v>409.53835554065296</v>
      </c>
      <c r="HH97" s="218">
        <f t="shared" si="111"/>
        <v>21.698662105185576</v>
      </c>
      <c r="HI97" s="218">
        <f t="shared" si="112"/>
        <v>20.756750563134062</v>
      </c>
      <c r="HJ97" s="218">
        <f t="shared" si="113"/>
        <v>-35.287665095818852</v>
      </c>
      <c r="HK97" s="218">
        <f ca="1">SUM(HJ97:INDIRECT(ADDRESS(MAX(CELL("row",HJ97)-intermediates!$B$83,69),CELL("col",HJ97))))/intermediates!$B$83+SUM(HH97:INDIRECT(ADDRESS(MAX(CELL("row",HH97)-intermediates!$B$84,69),CELL("col",HH97))))/intermediates!$B$84+SUM(HI97:INDIRECT(ADDRESS(MAX(CELL("row",HI97)-intermediates!$B$85,69),CELL("col",HI97))))/intermediates!$B$85</f>
        <v>-19.418139403142753</v>
      </c>
      <c r="HL97" s="218">
        <f t="shared" ca="1" si="163"/>
        <v>-203.70529207097493</v>
      </c>
      <c r="HM97" s="188">
        <f t="shared" si="114"/>
        <v>2041</v>
      </c>
      <c r="HQ97" s="185">
        <f t="shared" si="115"/>
        <v>1161.4454739961946</v>
      </c>
      <c r="HR97" s="185">
        <f t="shared" si="116"/>
        <v>521.3046767409345</v>
      </c>
      <c r="HS97" s="185">
        <f t="shared" si="117"/>
        <v>420.37368858073586</v>
      </c>
      <c r="HT97" s="185">
        <f t="shared" si="118"/>
        <v>433.83658021805439</v>
      </c>
      <c r="HU97" s="185">
        <f t="shared" si="119"/>
        <v>265.69684439873419</v>
      </c>
      <c r="HV97" s="185">
        <f t="shared" si="120"/>
        <v>229.62139043643151</v>
      </c>
      <c r="HW97" s="185">
        <f t="shared" si="121"/>
        <v>509.83487281962385</v>
      </c>
      <c r="HX97" s="185">
        <f t="shared" si="122"/>
        <v>67.610116520740704</v>
      </c>
      <c r="HY97" s="185">
        <f t="shared" si="123"/>
        <v>1200.9144666935629</v>
      </c>
      <c r="HZ97" s="185">
        <f t="shared" si="140"/>
        <v>3542.1135271907083</v>
      </c>
      <c r="IA97" s="185">
        <f t="shared" si="141"/>
        <v>4810.6381104050115</v>
      </c>
      <c r="IB97" s="185">
        <f t="shared" si="124"/>
        <v>2327.9285985013557</v>
      </c>
      <c r="IC97" s="185">
        <f t="shared" si="175"/>
        <v>5098.3487281962389</v>
      </c>
      <c r="ID97" s="185">
        <f t="shared" si="125"/>
        <v>4169.3841156573262</v>
      </c>
      <c r="IE97" s="184">
        <f t="shared" si="142"/>
        <v>-0.37325301719296772</v>
      </c>
      <c r="IF97" s="184">
        <f t="shared" si="143"/>
        <v>-6.9005543699076577E-2</v>
      </c>
    </row>
    <row r="98" spans="1:240" x14ac:dyDescent="0.3">
      <c r="A98" s="211">
        <v>2042</v>
      </c>
      <c r="E98" s="207">
        <v>8769695.3659999892</v>
      </c>
      <c r="F98" s="207">
        <v>9315508.1530000009</v>
      </c>
      <c r="G98" s="207">
        <v>9863730.9580000006</v>
      </c>
      <c r="I98" s="207">
        <f t="shared" si="164"/>
        <v>8769695365.9999886</v>
      </c>
      <c r="J98" s="207">
        <f t="shared" si="164"/>
        <v>9315508153</v>
      </c>
      <c r="K98" s="207">
        <f t="shared" si="164"/>
        <v>9863730958</v>
      </c>
      <c r="L98" s="187">
        <f>IF(intermediates!$B$4&gt;=2,(intermediates!$B$4-2)*K98+(1-(intermediates!$B$4-2))*J98,(intermediates!$B$4-1)*J98+(1-(intermediates!$B$4-1))*I98)</f>
        <v>9517944608.4465866</v>
      </c>
      <c r="AJ98" s="184">
        <f>IF(intermediates!$B$46=0,$AJ$74+(intermediates!$B$15-$AJ$74)*MIN(1,(data!A98-data!$A$74)/(intermediates!$B$32-data!$A$74)),IF(A98&lt;2021,$AJ$74+(intermediates!$B$15-$AJ$74)*MIN(1,(data!A98-data!$A$74)/(intermediates!$B$32-data!$A$74)),intermediates!$B$47+(intermediates!$B$15-intermediates!$B$47)*MIN(1,(data!A98-$A$77)/(intermediates!$B$32-$A$77))))</f>
        <v>24059.974329180528</v>
      </c>
      <c r="AK98" s="192">
        <f t="shared" si="146"/>
        <v>24059.974329180528</v>
      </c>
      <c r="AL98" s="192">
        <f t="shared" si="185"/>
        <v>229001502945787.09</v>
      </c>
      <c r="AM98" s="192">
        <f>data!AL98/(1000000*conversions!$C$1)</f>
        <v>19628.700252496037</v>
      </c>
      <c r="AN98" s="192">
        <f>IF(intermediates!$B$13=1,($AJ$74+(27400-$AJ$74)*MIN(1,(data!A98-data!$A$74)/(intermediates!$B$32-data!$A$74)))*L98/(1000000*conversions!$C$1),data!AM98)</f>
        <v>19628.700252496037</v>
      </c>
      <c r="AV98" s="214">
        <f>IF(A98&lt;intermediates!$B$29,0,IF(A98&lt;intermediates!$B$31,(data!A98-intermediates!$B$29)*intermediates!$B$26/(intermediates!$B$31-intermediates!$B$29),intermediates!$B$26))</f>
        <v>7</v>
      </c>
      <c r="AW98" s="212">
        <f>MIN(AW97+intermediates!$B$16,intermediates!$B$17*data!$AW$74)</f>
        <v>1515.2011617269391</v>
      </c>
      <c r="AX98" s="212">
        <f>AV98*1000/conversions!$C$16/intermediates!$B$40</f>
        <v>5730.9409477643967</v>
      </c>
      <c r="AY98" s="212">
        <f>AX98*(1-intermediates!$B$39)*intermediates!$B$28/(conversions!$C$2)</f>
        <v>1500.1210261071201</v>
      </c>
      <c r="AZ98" s="213">
        <f>IF(A98&lt;intermediates!$B$29,0,MIN(intermediates!$B$25,intermediates!$B$25*(A98-intermediates!$B$29)/(intermediates!$B$31-intermediates!$B$29)))</f>
        <v>0</v>
      </c>
      <c r="BA98" s="212">
        <f>IF(A98&lt;intermediates!$B$29,data!$BA$74,IF(intermediates!$B$23&gt;data!$BA$74,MIN(intermediates!$B$23,data!$BA$74+(intermediates!$B$23-data!$BA$74)*((data!A98-intermediates!$B$29)/(intermediates!$B$31-intermediates!$B$29))),MAX(intermediates!$B$23,data!$BA$74+(intermediates!$B$23-data!$BA$74)*((data!A98-intermediates!$B$29)/(intermediates!$B$31-intermediates!$B$29)))))</f>
        <v>6.1127528709713663E-2</v>
      </c>
      <c r="BB98" s="212">
        <f t="shared" si="147"/>
        <v>1199.8539382188153</v>
      </c>
      <c r="BC98" s="212">
        <f t="shared" si="166"/>
        <v>1199.8539382188153</v>
      </c>
      <c r="BD98" s="212">
        <f t="shared" si="167"/>
        <v>0</v>
      </c>
      <c r="BE98" s="214">
        <f>MAX(0,MIN(1,(data!A98-intermediates!$B$29)/(intermediates!$B$31-intermediates!$B$29)))*((intermediates!$B$38*L98)-$BE$69*1000000000)/1000000000+$BE$69</f>
        <v>899.44982653605325</v>
      </c>
      <c r="BF98" s="214">
        <f t="shared" si="99"/>
        <v>899.44982653605325</v>
      </c>
      <c r="BG98" s="214">
        <f t="shared" si="168"/>
        <v>0</v>
      </c>
      <c r="BH98" s="214">
        <f>BD98*conversions!$C$2/conversions!$C$17+BG98*conversions!$C$6/conversions!$C$10</f>
        <v>0</v>
      </c>
      <c r="BI98" s="214">
        <f>BH98*intermediates!$B$41*conversions!$C$11/(conversions!$C$2*conversions!$C$6*intermediates!$B$42)</f>
        <v>0</v>
      </c>
      <c r="BJ98" s="214">
        <f>BH98*intermediates!$B$43/(conversions!$C$1*intermediates!$B$42)</f>
        <v>0</v>
      </c>
      <c r="BK98" s="214">
        <f t="shared" si="148"/>
        <v>0</v>
      </c>
      <c r="BL98" s="214">
        <f t="shared" si="149"/>
        <v>19628.700252496037</v>
      </c>
      <c r="BM98" s="214">
        <f t="shared" si="150"/>
        <v>15413.524126443162</v>
      </c>
      <c r="BN98" s="214">
        <f>IF(A98&lt;intermediates!$B$29,MIN(BO97+intermediates!$B$33*AN97),MIN(BO97*intermediates!$B$35,BO97+intermediates!$B$37*AN97))</f>
        <v>9797.7457495303315</v>
      </c>
      <c r="BO98" s="212">
        <f>IF(A98&lt;intermediates!$B$29,MIN(BM98,BO97+intermediates!$B$33*AN97),MIN(BM98,BO97*intermediates!$B$35,BO97+intermediates!$B$37*AN97))</f>
        <v>9797.7457495303315</v>
      </c>
      <c r="BP98" s="214">
        <f t="shared" si="151"/>
        <v>0</v>
      </c>
      <c r="BQ98" s="214">
        <f t="shared" si="152"/>
        <v>5615.7783769128309</v>
      </c>
      <c r="BR98" s="212" t="str">
        <f t="shared" si="186"/>
        <v/>
      </c>
      <c r="BS98" s="212">
        <f>BP98*conversions!$C$1*intermediates!$B$42/intermediates!$B$43</f>
        <v>0</v>
      </c>
      <c r="BT98" s="214">
        <f>MIN(BT97+BS98,intermediates!$B$27*1000)</f>
        <v>0</v>
      </c>
      <c r="BU98" s="219" t="str">
        <f>IF(AND(BT98=intermediates!$B$27*1000,BT97&lt;&gt;intermediates!$B$27*1000),A98,"")</f>
        <v/>
      </c>
      <c r="BV98" s="212">
        <f>BT98*intermediates!$B$43/(conversions!$C$1*intermediates!$B$42)</f>
        <v>0</v>
      </c>
      <c r="BW98" s="214">
        <f t="shared" si="153"/>
        <v>19628.700252496037</v>
      </c>
      <c r="BX98" s="214">
        <f t="shared" si="154"/>
        <v>9797.7457495303315</v>
      </c>
      <c r="BY98" s="227">
        <f>IF(OR(BQ98&gt;0,BT98&lt;&gt;intermediates!$B$27*1000),MAX(0,(BX98-BX97)/AM97),0.000000000001)</f>
        <v>2.9986327406272374E-2</v>
      </c>
      <c r="BZ98" s="322">
        <f>BH98*intermediates!$B$49*1000000</f>
        <v>0</v>
      </c>
      <c r="CA98" s="322">
        <f>BI98*conversions!$C$1*1000000*intermediates!$B$50</f>
        <v>0</v>
      </c>
      <c r="CB98" s="322">
        <f>BT98*1000000*intermediates!$B$49</f>
        <v>0</v>
      </c>
      <c r="CC98" s="214">
        <f>BW98*conversions!$C$1*1000000/L98</f>
        <v>24059.974329180528</v>
      </c>
      <c r="CD98" s="173">
        <f t="shared" si="100"/>
        <v>2042</v>
      </c>
      <c r="CE98" s="173"/>
      <c r="CF98" s="173"/>
      <c r="CG98" s="173"/>
      <c r="CH98" s="173"/>
      <c r="CI98" s="173">
        <f t="shared" si="155"/>
        <v>5615.7783769128309</v>
      </c>
      <c r="CJ98" s="173">
        <f t="shared" si="156"/>
        <v>1515.2011617269391</v>
      </c>
      <c r="CK98" s="173">
        <f t="shared" si="157"/>
        <v>1199.8539382188153</v>
      </c>
      <c r="CL98" s="173">
        <f t="shared" si="158"/>
        <v>1500.1210261071201</v>
      </c>
      <c r="CM98" s="173"/>
      <c r="CN98" s="173"/>
      <c r="CO98" s="329">
        <f t="shared" si="169"/>
        <v>9797.7457495303315</v>
      </c>
      <c r="CP98" s="174">
        <f t="shared" si="159"/>
        <v>19.309588250269353</v>
      </c>
      <c r="CQ98" s="228">
        <f t="shared" si="160"/>
        <v>7</v>
      </c>
      <c r="CR98" s="228">
        <f t="shared" si="170"/>
        <v>77</v>
      </c>
      <c r="CS98" s="214">
        <f t="shared" ca="1" si="161"/>
        <v>32.535145641292587</v>
      </c>
      <c r="CT98" s="190">
        <f t="shared" ca="1" si="162"/>
        <v>3.418295333681566</v>
      </c>
      <c r="CU98" s="190">
        <f t="shared" ca="1" si="187"/>
        <v>32.535145641292587</v>
      </c>
      <c r="CV98" s="198">
        <f t="shared" si="174"/>
        <v>3109.6428188587302</v>
      </c>
      <c r="CW98" s="198">
        <f t="shared" ca="1" si="171"/>
        <v>3335.1526710036183</v>
      </c>
      <c r="CX98" s="198">
        <f t="shared" ca="1" si="172"/>
        <v>3256.5736683207297</v>
      </c>
      <c r="CY98" s="198">
        <f t="shared" ca="1" si="173"/>
        <v>-78.579002682889822</v>
      </c>
      <c r="CZ98" s="199">
        <f ca="1">IF(CX98&lt;intermediates!$B$55,intermediates!$B$56+(CX98-intermediates!$B$55)*intermediates!$B$53,intermediates!$B$56+(data!CX98-intermediates!$B$55)*intermediates!$B$58)</f>
        <v>1.7400155324701081</v>
      </c>
      <c r="DG98" s="201">
        <f>IF(A98&gt;MAX(intermediates!B$31,intermediates!$B$32),DG97,DG97+intermediates!$B$60*DG$73)</f>
        <v>17449141061250</v>
      </c>
      <c r="DH98" s="201">
        <f>IF(A98&gt;MAX(intermediates!B$31,intermediates!$B$32),DH97,DH97+intermediates!$B$61*DH$73)</f>
        <v>30716046256875</v>
      </c>
      <c r="DI98" s="201">
        <f>IF(A98&gt;MAX(intermediates!B$31,intermediates!$B$32),DI97,DI97+intermediates!$B$62*DI$73)</f>
        <v>39367796045000</v>
      </c>
      <c r="DJ98" s="221"/>
      <c r="EE98" s="218"/>
      <c r="EF98" s="212">
        <f>$EF$69+intermediates!$B$90*(A98-2013)*intermediates!$B$92+intermediates!$B$91*intermediates!$B$92*(A98-2013)^2</f>
        <v>2985.7308985492186</v>
      </c>
      <c r="EH98" s="212">
        <f>IF(A98&lt;intermediates!$B$29,data!EH97,IF(A98&lt;intermediates!$B$31,data!$EH$69+(intermediates!$B$93-data!$EH$69)*(data!A98-intermediates!$B$29)/(intermediates!$B$31-intermediates!$B$29),intermediates!$B$93))</f>
        <v>7.0122296681360996E-2</v>
      </c>
      <c r="EI98" s="212">
        <f t="shared" si="128"/>
        <v>7.0122296681360996E-2</v>
      </c>
      <c r="EN98" s="218"/>
      <c r="EO98" s="212">
        <f t="shared" si="129"/>
        <v>2776.3645906704437</v>
      </c>
      <c r="EQ98" s="212">
        <f t="shared" si="130"/>
        <v>209.36630787877493</v>
      </c>
      <c r="ET98" s="214">
        <f>IF(A98&lt;intermediates!$B$29,ET97+intermediates!$B$63,ET97+intermediates!$B$63*intermediates!$B$67)</f>
        <v>1075.0436550860713</v>
      </c>
      <c r="EU98" s="215">
        <f t="shared" si="131"/>
        <v>1075.0436550860713</v>
      </c>
      <c r="EV98" s="216">
        <f>data!EU98*conversions!$C$13</f>
        <v>1.2502757708651009</v>
      </c>
      <c r="EX98" s="212">
        <f>intermediates!$B$64+intermediates!$B$64*(EXP(-(data!A98-intermediates!$B$66)/intermediates!$B$65)-1)</f>
        <v>1.2746472744775328E-2</v>
      </c>
      <c r="EY98" s="217">
        <f>IF(A98&lt;intermediates!$B$29,data!EX98,data!EY97+(data!EX98-data!EX97)*intermediates!$B$68)</f>
        <v>1.2746472744775328E-2</v>
      </c>
      <c r="EZ98" s="217">
        <f t="shared" si="132"/>
        <v>1.2746472744775328E-2</v>
      </c>
      <c r="FB98" s="212">
        <f>intermediates!$B$94+intermediates!$B$95+(intermediates!$B$95*(EXP(-(data!A98-intermediates!$B$97)/intermediates!$B$96)-1))</f>
        <v>1.6579501254717928</v>
      </c>
      <c r="FC98" s="217">
        <f>IF(A98&lt;intermediates!$B$29,data!FB98,data!FC97+(data!FB98-data!FB97)*intermediates!$B$68)</f>
        <v>1.6579501254717928</v>
      </c>
      <c r="FD98" s="212">
        <f t="shared" si="133"/>
        <v>1.6579501254717928</v>
      </c>
      <c r="FF98" s="184">
        <f>intermediates!$B$98+intermediates!$B$99*EXP(-(A98-intermediates!$B$101)/intermediates!$B$100)</f>
        <v>0.88417254319335103</v>
      </c>
      <c r="FG98" s="184">
        <f t="shared" si="101"/>
        <v>0.88417254319335103</v>
      </c>
      <c r="FI98" s="184">
        <f>intermediates!$B$102+intermediates!$B$103*EXP(-(A98-intermediates!$B$105)/intermediates!$B$104)</f>
        <v>1.8788670941423179E-2</v>
      </c>
      <c r="FJ98" s="184">
        <f t="shared" si="134"/>
        <v>1.8788670941423179E-2</v>
      </c>
      <c r="FL98" s="184">
        <f>intermediates!$B$106</f>
        <v>4.5616870531049965E-2</v>
      </c>
      <c r="FM98" s="184">
        <f t="shared" si="135"/>
        <v>4.5616870531049965E-2</v>
      </c>
      <c r="FN98" s="218">
        <f>IF(A98&lt;intermediates!$B$29,0,IF(A98&lt;intermediates!$B$31,(data!A98-intermediates!$B$29)/(intermediates!$B$31-intermediates!$B$29),1))</f>
        <v>0.7</v>
      </c>
      <c r="FO98" s="218">
        <f t="shared" si="176"/>
        <v>727348976261781.25</v>
      </c>
      <c r="FP98" s="218">
        <f t="shared" si="177"/>
        <v>822632394390836</v>
      </c>
      <c r="FQ98" s="218">
        <f t="shared" si="178"/>
        <v>10485661394072.061</v>
      </c>
      <c r="FR98" s="218">
        <f t="shared" si="179"/>
        <v>1363883481497447.8</v>
      </c>
      <c r="FS98" s="218">
        <f t="shared" si="180"/>
        <v>1268677299796.0264</v>
      </c>
      <c r="FT98" s="218">
        <f>intermediates!$B$69*data!EU98/intermediates!$B$71</f>
        <v>2.7363449366748238</v>
      </c>
      <c r="FU98" s="218">
        <f>BC98*conversions!$C$1*1000000</f>
        <v>13998295945886.178</v>
      </c>
      <c r="FV98" s="218">
        <f t="shared" si="184"/>
        <v>5115691285213.7539</v>
      </c>
      <c r="FX98" s="221"/>
      <c r="FY98" s="221"/>
      <c r="FZ98" s="221"/>
      <c r="GA98" s="218">
        <f t="shared" si="102"/>
        <v>899.44982653605325</v>
      </c>
      <c r="GB98" s="218">
        <f>GA98*1000000*10000*intermediates!$B$71/(intermediates!$B$72*data!EU98)</f>
        <v>4108810508869.2451</v>
      </c>
      <c r="GC98" s="218">
        <f t="shared" si="181"/>
        <v>8971941516579.0605</v>
      </c>
      <c r="GD98" s="218">
        <f t="shared" si="144"/>
        <v>19465120610458.09</v>
      </c>
      <c r="GE98" s="218">
        <f t="shared" si="182"/>
        <v>20805083263418.441</v>
      </c>
      <c r="GF98" s="218">
        <f t="shared" si="183"/>
        <v>390899863345.27979</v>
      </c>
      <c r="GG98" s="218">
        <f t="shared" si="136"/>
        <v>949062789615.07349</v>
      </c>
      <c r="GH98" s="218">
        <f t="shared" si="103"/>
        <v>9648517740084.6523</v>
      </c>
      <c r="GI98" s="218">
        <f t="shared" si="145"/>
        <v>592101076290.43359</v>
      </c>
      <c r="GJ98" s="218">
        <f>ET98*intermediates!$B$73/intermediates!$B$71</f>
        <v>4.1045174050122357</v>
      </c>
      <c r="GK98" s="218">
        <f>CL98*conversions!$C$1*1000000/data!GJ98</f>
        <v>4263939032120.5278</v>
      </c>
      <c r="GL98" s="218">
        <f>MIN(1,FN98)*(intermediates!$B$75-data!$GL$69)+data!$GL$69</f>
        <v>0.71207060600708783</v>
      </c>
      <c r="GM98" s="218">
        <f>GL98*intermediates!$B$74*(FS98+GC98+GK98+GG98+GF98+GB98+FV98)</f>
        <v>2677637084698.4438</v>
      </c>
      <c r="GN98" s="218">
        <f>MIN(1,FN98)*intermediates!$B$76</f>
        <v>8.3999999999999991E-2</v>
      </c>
      <c r="GO98" s="218">
        <f t="shared" si="137"/>
        <v>2330719387939.9424</v>
      </c>
      <c r="GP98" s="218">
        <f>IF(A98&gt;intermediates!$B$29,MIN(1,(A98-intermediates!$B$29)/(intermediates!$B$31-intermediates!$B$29))*intermediates!$B$77,0)</f>
        <v>0.105</v>
      </c>
      <c r="GQ98" s="218">
        <f>IF(AND(A98&gt;intermediates!$B$29+intermediates!$B$30,data!GP98&lt;intermediates!$B$77),1,0)</f>
        <v>0</v>
      </c>
      <c r="GR98" s="218">
        <f t="shared" si="104"/>
        <v>5057344668403.125</v>
      </c>
      <c r="GS98" s="218">
        <f t="shared" si="105"/>
        <v>45620384830652.547</v>
      </c>
      <c r="GT98" s="218">
        <f t="shared" si="97"/>
        <v>87532983363125</v>
      </c>
      <c r="GU98" s="218">
        <f t="shared" si="106"/>
        <v>44425140713403.125</v>
      </c>
      <c r="GV98" s="218">
        <f t="shared" si="107"/>
        <v>27746659380237.414</v>
      </c>
      <c r="GW98" s="218">
        <f t="shared" si="108"/>
        <v>2544802487472.4531</v>
      </c>
      <c r="GX98" s="218">
        <f>MIN(intermediates!$B$88,FN98*intermediates!$B$87*GO98)</f>
        <v>815751785778.97974</v>
      </c>
      <c r="GY98" s="218">
        <f t="shared" si="109"/>
        <v>1514967602160.9626</v>
      </c>
      <c r="GZ98" s="218">
        <f>MIN(intermediates!$B$88-GX98,intermediates!$B$87*data!GW98*FN98)</f>
        <v>890680870615.35852</v>
      </c>
      <c r="HA98" s="218">
        <f t="shared" si="138"/>
        <v>1654121616857.0947</v>
      </c>
      <c r="HB98" s="218">
        <f t="shared" si="139"/>
        <v>1706432656394.3384</v>
      </c>
      <c r="HC98" s="218">
        <f t="shared" si="110"/>
        <v>13654750613090.117</v>
      </c>
      <c r="HD98" s="218">
        <f>HC98*intermediates!$B$79/(10000*1000000000)</f>
        <v>906.32320862874565</v>
      </c>
      <c r="HE98" s="218">
        <f>(GV98*intermediates!$B$80+GV98*GL98*intermediates!$B$82)/(10000*1000000000)</f>
        <v>976.66752324062804</v>
      </c>
      <c r="HF98" s="218">
        <f>GU98*intermediates!$B$78/(10000*1000000000)</f>
        <v>4473.5829014484189</v>
      </c>
      <c r="HG98" s="218">
        <f>HB98*intermediates!$B$81/(10000*1000000000)</f>
        <v>428.9349007320842</v>
      </c>
      <c r="HH98" s="218">
        <f t="shared" si="111"/>
        <v>21.69413431803514</v>
      </c>
      <c r="HI98" s="218">
        <f t="shared" si="112"/>
        <v>19.396545191431244</v>
      </c>
      <c r="HJ98" s="218">
        <f t="shared" si="113"/>
        <v>-34.677382773539534</v>
      </c>
      <c r="HK98" s="218">
        <f ca="1">SUM(HJ98:INDIRECT(ADDRESS(MAX(CELL("row",HJ98)-intermediates!$B$83,69),CELL("col",HJ98))))/intermediates!$B$83+SUM(HH98:INDIRECT(ADDRESS(MAX(CELL("row",HH98)-intermediates!$B$84,69),CELL("col",HH98))))/intermediates!$B$84+SUM(HI98:INDIRECT(ADDRESS(MAX(CELL("row",HI98)-intermediates!$B$85,69),CELL("col",HI98))))/intermediates!$B$85</f>
        <v>-20.225557391023237</v>
      </c>
      <c r="HL98" s="218">
        <f t="shared" ca="1" si="163"/>
        <v>-223.93084946199818</v>
      </c>
      <c r="HM98" s="188">
        <f t="shared" si="114"/>
        <v>2042</v>
      </c>
      <c r="HQ98" s="185">
        <f t="shared" si="115"/>
        <v>1154.5014018355821</v>
      </c>
      <c r="HR98" s="185">
        <f t="shared" si="116"/>
        <v>537.47857291309458</v>
      </c>
      <c r="HS98" s="185">
        <f t="shared" si="117"/>
        <v>431.69094567149824</v>
      </c>
      <c r="HT98" s="185">
        <f t="shared" si="118"/>
        <v>447.98947751140997</v>
      </c>
      <c r="HU98" s="185">
        <f t="shared" si="119"/>
        <v>281.32513844661446</v>
      </c>
      <c r="HV98" s="185">
        <f t="shared" si="120"/>
        <v>244.87633452621412</v>
      </c>
      <c r="HW98" s="185">
        <f t="shared" si="121"/>
        <v>531.34840309062577</v>
      </c>
      <c r="HX98" s="185">
        <f t="shared" si="122"/>
        <v>62.208922267206781</v>
      </c>
      <c r="HY98" s="185">
        <f t="shared" si="123"/>
        <v>1101.6728742849255</v>
      </c>
      <c r="HZ98" s="185">
        <f t="shared" si="140"/>
        <v>3629.2102739950392</v>
      </c>
      <c r="IA98" s="185">
        <f t="shared" si="141"/>
        <v>4793.0920705471708</v>
      </c>
      <c r="IB98" s="185">
        <f t="shared" si="124"/>
        <v>2337.7665842279935</v>
      </c>
      <c r="IC98" s="185">
        <f t="shared" si="175"/>
        <v>5060.4609818154831</v>
      </c>
      <c r="ID98" s="185">
        <f t="shared" si="125"/>
        <v>4136.1657022109075</v>
      </c>
      <c r="IE98" s="184">
        <f t="shared" si="142"/>
        <v>-0.34603321309284019</v>
      </c>
      <c r="IF98" s="184">
        <f t="shared" si="143"/>
        <v>-6.4641731138913375E-2</v>
      </c>
    </row>
    <row r="99" spans="1:240" x14ac:dyDescent="0.3">
      <c r="A99" s="211">
        <v>2043</v>
      </c>
      <c r="E99" s="207">
        <v>8793831.8230000101</v>
      </c>
      <c r="F99" s="207">
        <v>9372118.2470000107</v>
      </c>
      <c r="G99" s="207">
        <v>9953952.2100000009</v>
      </c>
      <c r="I99" s="207">
        <f t="shared" si="164"/>
        <v>8793831823.0000095</v>
      </c>
      <c r="J99" s="207">
        <f t="shared" si="164"/>
        <v>9372118247.0000114</v>
      </c>
      <c r="K99" s="207">
        <f t="shared" si="164"/>
        <v>9953952210</v>
      </c>
      <c r="L99" s="187">
        <f>IF(intermediates!$B$4&gt;=2,(intermediates!$B$4-2)*K99+(1-(intermediates!$B$4-2))*J99,(intermediates!$B$4-1)*J99+(1-(intermediates!$B$4-1))*I99)</f>
        <v>9586965940.4084568</v>
      </c>
      <c r="AJ99" s="184">
        <f>IF(intermediates!$B$46=0,$AJ$74+(intermediates!$B$15-$AJ$74)*MIN(1,(data!A99-data!$A$74)/(intermediates!$B$32-data!$A$74)),IF(A99&lt;2021,$AJ$74+(intermediates!$B$15-$AJ$74)*MIN(1,(data!A99-data!$A$74)/(intermediates!$B$32-data!$A$74)),intermediates!$B$47+(intermediates!$B$15-intermediates!$B$47)*MIN(1,(data!A99-$A$77)/(intermediates!$B$32-$A$77))))</f>
        <v>24179.260960281223</v>
      </c>
      <c r="AK99" s="192">
        <f t="shared" si="146"/>
        <v>24179.260960281223</v>
      </c>
      <c r="AL99" s="192">
        <f t="shared" si="185"/>
        <v>231805751290463.97</v>
      </c>
      <c r="AM99" s="192">
        <f>data!AL99/(1000000*conversions!$C$1)</f>
        <v>19869.064396325484</v>
      </c>
      <c r="AN99" s="192">
        <f>IF(intermediates!$B$13=1,($AJ$74+(27400-$AJ$74)*MIN(1,(data!A99-data!$A$74)/(intermediates!$B$32-data!$A$74)))*L99/(1000000*conversions!$C$1),data!AM99)</f>
        <v>19869.064396325484</v>
      </c>
      <c r="AV99" s="214">
        <f>IF(A99&lt;intermediates!$B$29,0,IF(A99&lt;intermediates!$B$31,(data!A99-intermediates!$B$29)*intermediates!$B$26/(intermediates!$B$31-intermediates!$B$29),intermediates!$B$26))</f>
        <v>7.333333333333333</v>
      </c>
      <c r="AW99" s="212">
        <f>MIN(AW98+intermediates!$B$16,intermediates!$B$17*data!$AW$74)</f>
        <v>1538.8014229141484</v>
      </c>
      <c r="AX99" s="212">
        <f>AV99*1000/conversions!$C$16/intermediates!$B$40</f>
        <v>6003.8428976579389</v>
      </c>
      <c r="AY99" s="212">
        <f>AX99*(1-intermediates!$B$39)*intermediates!$B$28/(conversions!$C$2)</f>
        <v>1571.5553606836497</v>
      </c>
      <c r="AZ99" s="213">
        <f>IF(A99&lt;intermediates!$B$29,0,MIN(intermediates!$B$25,intermediates!$B$25*(A99-intermediates!$B$29)/(intermediates!$B$31-intermediates!$B$29)))</f>
        <v>0</v>
      </c>
      <c r="BA99" s="212">
        <f>IF(A99&lt;intermediates!$B$29,data!$BA$74,IF(intermediates!$B$23&gt;data!$BA$74,MIN(intermediates!$B$23,data!$BA$74+(intermediates!$B$23-data!$BA$74)*((data!A99-intermediates!$B$29)/(intermediates!$B$31-intermediates!$B$29))),MAX(intermediates!$B$23,data!$BA$74+(intermediates!$B$23-data!$BA$74)*((data!A99-intermediates!$B$29)/(intermediates!$B$31-intermediates!$B$29)))))</f>
        <v>6.3224469964189928E-2</v>
      </c>
      <c r="BB99" s="212">
        <f t="shared" si="147"/>
        <v>1256.211065142036</v>
      </c>
      <c r="BC99" s="212">
        <f t="shared" si="166"/>
        <v>1256.211065142036</v>
      </c>
      <c r="BD99" s="212">
        <f t="shared" si="167"/>
        <v>0</v>
      </c>
      <c r="BE99" s="214">
        <f>MAX(0,MIN(1,(data!A99-intermediates!$B$29)/(intermediates!$B$31-intermediates!$B$29)))*((intermediates!$B$38*L99)-$BE$69*1000000000)/1000000000+$BE$69</f>
        <v>938.03158746808822</v>
      </c>
      <c r="BF99" s="214">
        <f t="shared" si="99"/>
        <v>938.03158746808822</v>
      </c>
      <c r="BG99" s="214">
        <f t="shared" si="168"/>
        <v>0</v>
      </c>
      <c r="BH99" s="214">
        <f>BD99*conversions!$C$2/conversions!$C$17+BG99*conversions!$C$6/conversions!$C$10</f>
        <v>0</v>
      </c>
      <c r="BI99" s="214">
        <f>BH99*intermediates!$B$41*conversions!$C$11/(conversions!$C$2*conversions!$C$6*intermediates!$B$42)</f>
        <v>0</v>
      </c>
      <c r="BJ99" s="214">
        <f>BH99*intermediates!$B$43/(conversions!$C$1*intermediates!$B$42)</f>
        <v>0</v>
      </c>
      <c r="BK99" s="214">
        <f t="shared" si="148"/>
        <v>0</v>
      </c>
      <c r="BL99" s="214">
        <f t="shared" si="149"/>
        <v>19869.064396325484</v>
      </c>
      <c r="BM99" s="214">
        <f t="shared" si="150"/>
        <v>15502.49654758565</v>
      </c>
      <c r="BN99" s="214">
        <f>IF(A99&lt;intermediates!$B$29,MIN(BO98+intermediates!$B$33*AN98),MIN(BO98*intermediates!$B$35,BO98+intermediates!$B$37*AN98))</f>
        <v>10386.33838186126</v>
      </c>
      <c r="BO99" s="212">
        <f>IF(A99&lt;intermediates!$B$29,MIN(BM99,BO98+intermediates!$B$33*AN98),MIN(BM99,BO98*intermediates!$B$35,BO98+intermediates!$B$37*AN98))</f>
        <v>10386.33838186126</v>
      </c>
      <c r="BP99" s="214">
        <f t="shared" si="151"/>
        <v>0</v>
      </c>
      <c r="BQ99" s="214">
        <f t="shared" si="152"/>
        <v>5116.1581657243914</v>
      </c>
      <c r="BR99" s="212" t="str">
        <f t="shared" si="186"/>
        <v/>
      </c>
      <c r="BS99" s="212">
        <f>BP99*conversions!$C$1*intermediates!$B$42/intermediates!$B$43</f>
        <v>0</v>
      </c>
      <c r="BT99" s="214">
        <f>MIN(BT98+BS99,intermediates!$B$27*1000)</f>
        <v>0</v>
      </c>
      <c r="BU99" s="219" t="str">
        <f>IF(AND(BT99=intermediates!$B$27*1000,BT98&lt;&gt;intermediates!$B$27*1000),A99,"")</f>
        <v/>
      </c>
      <c r="BV99" s="212">
        <f>BT99*intermediates!$B$43/(conversions!$C$1*intermediates!$B$42)</f>
        <v>0</v>
      </c>
      <c r="BW99" s="214">
        <f t="shared" si="153"/>
        <v>19869.064396325484</v>
      </c>
      <c r="BX99" s="214">
        <f t="shared" si="154"/>
        <v>10386.33838186126</v>
      </c>
      <c r="BY99" s="227">
        <f>IF(OR(BQ99&gt;0,BT99&lt;&gt;intermediates!$B$27*1000),MAX(0,(BX99-BX98)/AM98),0.000000000001)</f>
        <v>2.9986327406272436E-2</v>
      </c>
      <c r="BZ99" s="322">
        <f>BH99*intermediates!$B$49*1000000</f>
        <v>0</v>
      </c>
      <c r="CA99" s="322">
        <f>BI99*conversions!$C$1*1000000*intermediates!$B$50</f>
        <v>0</v>
      </c>
      <c r="CB99" s="322">
        <f>BT99*1000000*intermediates!$B$49</f>
        <v>0</v>
      </c>
      <c r="CC99" s="214">
        <f>BW99*conversions!$C$1*1000000/L99</f>
        <v>24179.260960281223</v>
      </c>
      <c r="CD99" s="173">
        <f t="shared" si="100"/>
        <v>2043</v>
      </c>
      <c r="CE99" s="173"/>
      <c r="CF99" s="173"/>
      <c r="CG99" s="173"/>
      <c r="CH99" s="173"/>
      <c r="CI99" s="173">
        <f t="shared" si="155"/>
        <v>5116.1581657243914</v>
      </c>
      <c r="CJ99" s="173">
        <f t="shared" si="156"/>
        <v>1538.8014229141484</v>
      </c>
      <c r="CK99" s="173">
        <f t="shared" si="157"/>
        <v>1256.211065142036</v>
      </c>
      <c r="CL99" s="173">
        <f t="shared" si="158"/>
        <v>1571.5553606836497</v>
      </c>
      <c r="CM99" s="173"/>
      <c r="CN99" s="173"/>
      <c r="CO99" s="329">
        <f t="shared" si="169"/>
        <v>10386.33838186126</v>
      </c>
      <c r="CP99" s="174">
        <f t="shared" si="159"/>
        <v>17.591667792577628</v>
      </c>
      <c r="CQ99" s="228">
        <f t="shared" si="160"/>
        <v>7.333333333333333</v>
      </c>
      <c r="CR99" s="228">
        <f t="shared" si="170"/>
        <v>84.333333333333329</v>
      </c>
      <c r="CS99" s="214">
        <f t="shared" ca="1" si="161"/>
        <v>32.20994100185785</v>
      </c>
      <c r="CT99" s="190">
        <f t="shared" ca="1" si="162"/>
        <v>3.3597637878418842</v>
      </c>
      <c r="CU99" s="190">
        <f t="shared" ca="1" si="187"/>
        <v>32.20994100185785</v>
      </c>
      <c r="CV99" s="198">
        <f t="shared" si="174"/>
        <v>3127.2344866513076</v>
      </c>
      <c r="CW99" s="198">
        <f t="shared" ca="1" si="171"/>
        <v>3374.6959453388095</v>
      </c>
      <c r="CX99" s="198">
        <f t="shared" ca="1" si="172"/>
        <v>3288.7836093225874</v>
      </c>
      <c r="CY99" s="198">
        <f t="shared" ca="1" si="173"/>
        <v>-85.912336016223151</v>
      </c>
      <c r="CZ99" s="199">
        <f ca="1">IF(CX99&lt;intermediates!$B$55,intermediates!$B$56+(CX99-intermediates!$B$55)*intermediates!$B$53,intermediates!$B$56+(data!CX99-intermediates!$B$55)*intermediates!$B$58)</f>
        <v>1.7575312886500631</v>
      </c>
      <c r="DG99" s="201">
        <f>IF(A99&gt;MAX(intermediates!B$31,intermediates!$B$32),DG98,DG98+intermediates!$B$60*DG$73)</f>
        <v>17522572002500</v>
      </c>
      <c r="DH99" s="201">
        <f>IF(A99&gt;MAX(intermediates!B$31,intermediates!$B$32),DH98,DH98+intermediates!$B$61*DH$73)</f>
        <v>30638118973750</v>
      </c>
      <c r="DI99" s="201">
        <f>IF(A99&gt;MAX(intermediates!B$31,intermediates!$B$32),DI98,DI98+intermediates!$B$62*DI$73)</f>
        <v>39342854438000</v>
      </c>
      <c r="DJ99" s="221"/>
      <c r="EE99" s="218"/>
      <c r="EF99" s="212">
        <f>$EF$69+intermediates!$B$90*(A99-2013)*intermediates!$B$92+intermediates!$B$91*intermediates!$B$92*(A99-2013)^2</f>
        <v>2991.3007885492184</v>
      </c>
      <c r="EH99" s="212">
        <f>IF(A99&lt;intermediates!$B$29,data!EH98,IF(A99&lt;intermediates!$B$31,data!$EH$69+(intermediates!$B$93-data!$EH$69)*(data!A99-intermediates!$B$29)/(intermediates!$B$31-intermediates!$B$29),intermediates!$B$93))</f>
        <v>6.5133388544643622E-2</v>
      </c>
      <c r="EI99" s="212">
        <f t="shared" si="128"/>
        <v>6.5133388544643622E-2</v>
      </c>
      <c r="EN99" s="218"/>
      <c r="EO99" s="212">
        <f t="shared" si="129"/>
        <v>2796.4672320347431</v>
      </c>
      <c r="EQ99" s="212">
        <f t="shared" si="130"/>
        <v>194.83355651447528</v>
      </c>
      <c r="ET99" s="214">
        <f>IF(A99&lt;intermediates!$B$29,ET98+intermediates!$B$63,ET98+intermediates!$B$63*intermediates!$B$67)</f>
        <v>1085.0192444775141</v>
      </c>
      <c r="EU99" s="215">
        <f t="shared" si="131"/>
        <v>1085.0192444775141</v>
      </c>
      <c r="EV99" s="216">
        <f>data!EU99*conversions!$C$13</f>
        <v>1.2618773813273489</v>
      </c>
      <c r="EX99" s="212">
        <f>intermediates!$B$64+intermediates!$B$64*(EXP(-(data!A99-intermediates!$B$66)/intermediates!$B$65)-1)</f>
        <v>1.2509509615304219E-2</v>
      </c>
      <c r="EY99" s="217">
        <f>IF(A99&lt;intermediates!$B$29,data!EX99,data!EY98+(data!EX99-data!EX98)*intermediates!$B$68)</f>
        <v>1.2509509615304219E-2</v>
      </c>
      <c r="EZ99" s="217">
        <f t="shared" si="132"/>
        <v>1.2509509615304219E-2</v>
      </c>
      <c r="FB99" s="212">
        <f>intermediates!$B$94+intermediates!$B$95+(intermediates!$B$95*(EXP(-(data!A99-intermediates!$B$97)/intermediates!$B$96)-1))</f>
        <v>1.6536427531298277</v>
      </c>
      <c r="FC99" s="217">
        <f>IF(A99&lt;intermediates!$B$29,data!FB99,data!FC98+(data!FB99-data!FB98)*intermediates!$B$68)</f>
        <v>1.6536427531298277</v>
      </c>
      <c r="FD99" s="212">
        <f t="shared" si="133"/>
        <v>1.6536427531298277</v>
      </c>
      <c r="FF99" s="184">
        <f>intermediates!$B$98+intermediates!$B$99*EXP(-(A99-intermediates!$B$101)/intermediates!$B$100)</f>
        <v>0.88473766732975867</v>
      </c>
      <c r="FG99" s="184">
        <f t="shared" si="101"/>
        <v>0.88473766732975867</v>
      </c>
      <c r="FI99" s="184">
        <f>intermediates!$B$102+intermediates!$B$103*EXP(-(A99-intermediates!$B$105)/intermediates!$B$104)</f>
        <v>1.8626452469807715E-2</v>
      </c>
      <c r="FJ99" s="184">
        <f t="shared" si="134"/>
        <v>1.8626452469807715E-2</v>
      </c>
      <c r="FL99" s="184">
        <f>intermediates!$B$106</f>
        <v>4.5616870531049965E-2</v>
      </c>
      <c r="FM99" s="184">
        <f t="shared" si="135"/>
        <v>4.5616870531049965E-2</v>
      </c>
      <c r="FN99" s="218">
        <f>IF(A99&lt;intermediates!$B$29,0,IF(A99&lt;intermediates!$B$31,(data!A99-intermediates!$B$29)/(intermediates!$B$31-intermediates!$B$29),1))</f>
        <v>0.73333333333333328</v>
      </c>
      <c r="FO99" s="218">
        <f t="shared" si="176"/>
        <v>681769874678816</v>
      </c>
      <c r="FP99" s="218">
        <f t="shared" si="177"/>
        <v>770589859405982.88</v>
      </c>
      <c r="FQ99" s="218">
        <f t="shared" si="178"/>
        <v>9639701255695.0684</v>
      </c>
      <c r="FR99" s="218">
        <f t="shared" si="179"/>
        <v>1274280336642036.3</v>
      </c>
      <c r="FS99" s="218">
        <f t="shared" si="180"/>
        <v>1174431092469.3875</v>
      </c>
      <c r="FT99" s="218">
        <f>intermediates!$B$69*data!EU99/intermediates!$B$71</f>
        <v>2.761736141387749</v>
      </c>
      <c r="FU99" s="218">
        <f>BC99*conversions!$C$1*1000000</f>
        <v>14655795759990.418</v>
      </c>
      <c r="FV99" s="218">
        <f t="shared" si="184"/>
        <v>5306732797661.8379</v>
      </c>
      <c r="FX99" s="221"/>
      <c r="FY99" s="221"/>
      <c r="FZ99" s="221"/>
      <c r="GA99" s="218">
        <f t="shared" si="102"/>
        <v>938.03158746808822</v>
      </c>
      <c r="GB99" s="218">
        <f>GA99*1000000*10000*intermediates!$B$71/(intermediates!$B$72*data!EU99)</f>
        <v>4245660788383.3506</v>
      </c>
      <c r="GC99" s="218">
        <f t="shared" si="181"/>
        <v>9018749878267.6797</v>
      </c>
      <c r="GD99" s="218">
        <f t="shared" si="144"/>
        <v>19745574556782.254</v>
      </c>
      <c r="GE99" s="218">
        <f t="shared" si="182"/>
        <v>21101184786737.41</v>
      </c>
      <c r="GF99" s="218">
        <f t="shared" si="183"/>
        <v>393040215486.79401</v>
      </c>
      <c r="GG99" s="218">
        <f t="shared" si="136"/>
        <v>962570014468.36157</v>
      </c>
      <c r="GH99" s="218">
        <f t="shared" si="103"/>
        <v>9647098064854.1016</v>
      </c>
      <c r="GI99" s="218">
        <f t="shared" si="145"/>
        <v>546082905882.96484</v>
      </c>
      <c r="GJ99" s="218">
        <f>ET99*intermediates!$B$73/intermediates!$B$71</f>
        <v>4.1426042120816238</v>
      </c>
      <c r="GK99" s="218">
        <f>CL99*conversions!$C$1*1000000/data!GJ99</f>
        <v>4425914618595.957</v>
      </c>
      <c r="GL99" s="218">
        <f>MIN(1,FN99)*(intermediates!$B$75-data!$GL$69)+data!$GL$69</f>
        <v>0.74406276089518908</v>
      </c>
      <c r="GM99" s="218">
        <f>GL99*intermediates!$B$74*(FS99+GC99+GK99+GG99+GF99+GB99+FV99)</f>
        <v>2849064609176.7427</v>
      </c>
      <c r="GN99" s="218">
        <f>MIN(1,FN99)*intermediates!$B$76</f>
        <v>8.7999999999999995E-2</v>
      </c>
      <c r="GO99" s="218">
        <f t="shared" si="137"/>
        <v>2497102433276.8896</v>
      </c>
      <c r="GP99" s="218">
        <f>IF(A99&gt;intermediates!$B$29,MIN(1,(A99-intermediates!$B$29)/(intermediates!$B$31-intermediates!$B$29))*intermediates!$B$77,0)</f>
        <v>0.10999999999999999</v>
      </c>
      <c r="GQ99" s="218">
        <f>IF(AND(A99&gt;intermediates!$B$29+intermediates!$B$30,data!GP99&lt;intermediates!$B$77),1,0)</f>
        <v>0</v>
      </c>
      <c r="GR99" s="218">
        <f t="shared" si="104"/>
        <v>5297676007387.499</v>
      </c>
      <c r="GS99" s="218">
        <f t="shared" si="105"/>
        <v>45810643710869.57</v>
      </c>
      <c r="GT99" s="218">
        <f t="shared" si="97"/>
        <v>87503545414250</v>
      </c>
      <c r="GU99" s="218">
        <f t="shared" si="106"/>
        <v>44640530445387.5</v>
      </c>
      <c r="GV99" s="218">
        <f t="shared" si="107"/>
        <v>28376164014510.113</v>
      </c>
      <c r="GW99" s="218">
        <f t="shared" si="108"/>
        <v>2350047265380.4297</v>
      </c>
      <c r="GX99" s="218">
        <f>MIN(intermediates!$B$88,FN99*intermediates!$B$87*GO99)</f>
        <v>915604225534.8595</v>
      </c>
      <c r="GY99" s="218">
        <f t="shared" si="109"/>
        <v>1581498207742.0303</v>
      </c>
      <c r="GZ99" s="218">
        <f>MIN(intermediates!$B$88-GX99,intermediates!$B$87*data!GW99*FN99)</f>
        <v>861683997306.15747</v>
      </c>
      <c r="HA99" s="218">
        <f t="shared" si="138"/>
        <v>1488363268074.2722</v>
      </c>
      <c r="HB99" s="218">
        <f t="shared" si="139"/>
        <v>1777288222841.0171</v>
      </c>
      <c r="HC99" s="218">
        <f t="shared" si="110"/>
        <v>12709562731511.369</v>
      </c>
      <c r="HD99" s="218">
        <f>HC99*intermediates!$B$79/(10000*1000000000)</f>
        <v>843.58711495243665</v>
      </c>
      <c r="HE99" s="218">
        <f>(GV99*intermediates!$B$80+GV99*GL99*intermediates!$B$82)/(10000*1000000000)</f>
        <v>1005.395401060764</v>
      </c>
      <c r="HF99" s="218">
        <f>GU99*intermediates!$B$78/(10000*1000000000)</f>
        <v>4495.2725079793036</v>
      </c>
      <c r="HG99" s="218">
        <f>HB99*intermediates!$B$81/(10000*1000000000)</f>
        <v>446.74540456077932</v>
      </c>
      <c r="HH99" s="218">
        <f t="shared" si="111"/>
        <v>21.689606530884703</v>
      </c>
      <c r="HI99" s="218">
        <f t="shared" si="112"/>
        <v>17.810503828695119</v>
      </c>
      <c r="HJ99" s="218">
        <f t="shared" si="113"/>
        <v>-34.008215856173024</v>
      </c>
      <c r="HK99" s="218">
        <f ca="1">SUM(HJ99:INDIRECT(ADDRESS(MAX(CELL("row",HJ99)-intermediates!$B$83,69),CELL("col",HJ99))))/intermediates!$B$83+SUM(HH99:INDIRECT(ADDRESS(MAX(CELL("row",HH99)-intermediates!$B$84,69),CELL("col",HH99))))/intermediates!$B$84+SUM(HI99:INDIRECT(ADDRESS(MAX(CELL("row",HI99)-intermediates!$B$85,69),CELL("col",HI99))))/intermediates!$B$85</f>
        <v>-21.951606542613554</v>
      </c>
      <c r="HL99" s="218">
        <f t="shared" ca="1" si="163"/>
        <v>-245.88245600461173</v>
      </c>
      <c r="HM99" s="188">
        <f t="shared" si="114"/>
        <v>2043</v>
      </c>
      <c r="HQ99" s="185">
        <f t="shared" si="115"/>
        <v>1147.6736605930282</v>
      </c>
      <c r="HR99" s="185">
        <f t="shared" si="116"/>
        <v>553.53621058507088</v>
      </c>
      <c r="HS99" s="185">
        <f t="shared" si="117"/>
        <v>442.85760633488411</v>
      </c>
      <c r="HT99" s="185">
        <f t="shared" si="118"/>
        <v>461.65957468785888</v>
      </c>
      <c r="HU99" s="185">
        <f t="shared" si="119"/>
        <v>297.18105048940612</v>
      </c>
      <c r="HV99" s="185">
        <f t="shared" si="120"/>
        <v>260.46847864054263</v>
      </c>
      <c r="HW99" s="185">
        <f t="shared" si="121"/>
        <v>552.59151230089685</v>
      </c>
      <c r="HX99" s="185">
        <f t="shared" si="122"/>
        <v>56.960972770463265</v>
      </c>
      <c r="HY99" s="185">
        <f t="shared" si="123"/>
        <v>1005.5007304307128</v>
      </c>
      <c r="HZ99" s="185">
        <f t="shared" si="140"/>
        <v>3715.9680936316877</v>
      </c>
      <c r="IA99" s="185">
        <f t="shared" si="141"/>
        <v>4778.4297968328638</v>
      </c>
      <c r="IB99" s="185">
        <f t="shared" si="124"/>
        <v>2347.6045699546307</v>
      </c>
      <c r="IC99" s="185">
        <f t="shared" si="175"/>
        <v>5023.5592027354269</v>
      </c>
      <c r="ID99" s="185">
        <f t="shared" si="125"/>
        <v>4103.785773575386</v>
      </c>
      <c r="IE99" s="184">
        <f t="shared" si="142"/>
        <v>-0.3186304503328185</v>
      </c>
      <c r="IF99" s="184">
        <f t="shared" si="143"/>
        <v>-5.9732505405367772E-2</v>
      </c>
    </row>
    <row r="100" spans="1:240" x14ac:dyDescent="0.3">
      <c r="A100" s="211">
        <v>2044</v>
      </c>
      <c r="E100" s="207">
        <v>8816109.3960000109</v>
      </c>
      <c r="F100" s="207">
        <v>9427555.3819999993</v>
      </c>
      <c r="G100" s="207">
        <v>10044052.111</v>
      </c>
      <c r="I100" s="207">
        <f t="shared" si="164"/>
        <v>8816109396.0000114</v>
      </c>
      <c r="J100" s="207">
        <f t="shared" si="164"/>
        <v>9427555382</v>
      </c>
      <c r="K100" s="207">
        <f t="shared" si="164"/>
        <v>10044052111</v>
      </c>
      <c r="L100" s="187">
        <f>IF(intermediates!$B$4&gt;=2,(intermediates!$B$4-2)*K100+(1-(intermediates!$B$4-2))*J100,(intermediates!$B$4-1)*J100+(1-(intermediates!$B$4-1))*I100)</f>
        <v>9655202629.5696716</v>
      </c>
      <c r="AJ100" s="184">
        <f>IF(intermediates!$B$46=0,$AJ$74+(intermediates!$B$15-$AJ$74)*MIN(1,(data!A100-data!$A$74)/(intermediates!$B$32-data!$A$74)),IF(A100&lt;2021,$AJ$74+(intermediates!$B$15-$AJ$74)*MIN(1,(data!A100-data!$A$74)/(intermediates!$B$32-data!$A$74)),intermediates!$B$47+(intermediates!$B$15-intermediates!$B$47)*MIN(1,(data!A100-$A$77)/(intermediates!$B$32-$A$77))))</f>
        <v>24298.547591381917</v>
      </c>
      <c r="AK100" s="192">
        <f t="shared" si="146"/>
        <v>24298.547591381917</v>
      </c>
      <c r="AL100" s="192">
        <f t="shared" si="185"/>
        <v>234607400599034.5</v>
      </c>
      <c r="AM100" s="192">
        <f>data!AL100/(1000000*conversions!$C$1)</f>
        <v>20109.20576563153</v>
      </c>
      <c r="AN100" s="192">
        <f>IF(intermediates!$B$13=1,($AJ$74+(27400-$AJ$74)*MIN(1,(data!A100-data!$A$74)/(intermediates!$B$32-data!$A$74)))*L100/(1000000*conversions!$C$1),data!AM100)</f>
        <v>20109.20576563153</v>
      </c>
      <c r="AV100" s="214">
        <f>IF(A100&lt;intermediates!$B$29,0,IF(A100&lt;intermediates!$B$31,(data!A100-intermediates!$B$29)*intermediates!$B$26/(intermediates!$B$31-intermediates!$B$29),intermediates!$B$26))</f>
        <v>7.666666666666667</v>
      </c>
      <c r="AW100" s="212">
        <f>MIN(AW99+intermediates!$B$16,intermediates!$B$17*data!$AW$74)</f>
        <v>1562.4016841013577</v>
      </c>
      <c r="AX100" s="212">
        <f>AV100*1000/conversions!$C$16/intermediates!$B$40</f>
        <v>6276.744847551483</v>
      </c>
      <c r="AY100" s="212">
        <f>AX100*(1-intermediates!$B$39)*intermediates!$B$28/(conversions!$C$2)</f>
        <v>1642.9896952601796</v>
      </c>
      <c r="AZ100" s="213">
        <f>IF(A100&lt;intermediates!$B$29,0,MIN(intermediates!$B$25,intermediates!$B$25*(A100-intermediates!$B$29)/(intermediates!$B$31-intermediates!$B$29)))</f>
        <v>0</v>
      </c>
      <c r="BA100" s="212">
        <f>IF(A100&lt;intermediates!$B$29,data!$BA$74,IF(intermediates!$B$23&gt;data!$BA$74,MIN(intermediates!$B$23,data!$BA$74+(intermediates!$B$23-data!$BA$74)*((data!A100-intermediates!$B$29)/(intermediates!$B$31-intermediates!$B$29))),MAX(intermediates!$B$23,data!$BA$74+(intermediates!$B$23-data!$BA$74)*((data!A100-intermediates!$B$29)/(intermediates!$B$31-intermediates!$B$29)))))</f>
        <v>6.5321411218666192E-2</v>
      </c>
      <c r="BB100" s="212">
        <f t="shared" si="147"/>
        <v>1313.5616990975902</v>
      </c>
      <c r="BC100" s="212">
        <f t="shared" si="166"/>
        <v>1313.5616990975902</v>
      </c>
      <c r="BD100" s="212">
        <f t="shared" si="167"/>
        <v>0</v>
      </c>
      <c r="BE100" s="214">
        <f>MAX(0,MIN(1,(data!A100-intermediates!$B$29)/(intermediates!$B$31-intermediates!$B$29)))*((intermediates!$B$38*L100)-$BE$69*1000000000)/1000000000+$BE$69</f>
        <v>977.11333123140912</v>
      </c>
      <c r="BF100" s="214">
        <f t="shared" si="99"/>
        <v>977.11333123140912</v>
      </c>
      <c r="BG100" s="214">
        <f t="shared" si="168"/>
        <v>0</v>
      </c>
      <c r="BH100" s="214">
        <f>BD100*conversions!$C$2/conversions!$C$17+BG100*conversions!$C$6/conversions!$C$10</f>
        <v>0</v>
      </c>
      <c r="BI100" s="214">
        <f>BH100*intermediates!$B$41*conversions!$C$11/(conversions!$C$2*conversions!$C$6*intermediates!$B$42)</f>
        <v>0</v>
      </c>
      <c r="BJ100" s="214">
        <f>BH100*intermediates!$B$43/(conversions!$C$1*intermediates!$B$42)</f>
        <v>0</v>
      </c>
      <c r="BK100" s="214">
        <f t="shared" si="148"/>
        <v>0</v>
      </c>
      <c r="BL100" s="214">
        <f t="shared" si="149"/>
        <v>20109.20576563153</v>
      </c>
      <c r="BM100" s="214">
        <f t="shared" si="150"/>
        <v>15590.252687172402</v>
      </c>
      <c r="BN100" s="214">
        <f>IF(A100&lt;intermediates!$B$29,MIN(BO99+intermediates!$B$33*AN99),MIN(BO99*intermediates!$B$35,BO99+intermediates!$B$37*AN99))</f>
        <v>10982.138652105787</v>
      </c>
      <c r="BO100" s="212">
        <f>IF(A100&lt;intermediates!$B$29,MIN(BM100,BO99+intermediates!$B$33*AN99),MIN(BM100,BO99*intermediates!$B$35,BO99+intermediates!$B$37*AN99))</f>
        <v>10982.138652105787</v>
      </c>
      <c r="BP100" s="214">
        <f t="shared" si="151"/>
        <v>0</v>
      </c>
      <c r="BQ100" s="214">
        <f t="shared" si="152"/>
        <v>4608.1140350666155</v>
      </c>
      <c r="BR100" s="212" t="str">
        <f t="shared" si="186"/>
        <v/>
      </c>
      <c r="BS100" s="212">
        <f>BP100*conversions!$C$1*intermediates!$B$42/intermediates!$B$43</f>
        <v>0</v>
      </c>
      <c r="BT100" s="214">
        <f>MIN(BT99+BS100,intermediates!$B$27*1000)</f>
        <v>0</v>
      </c>
      <c r="BU100" s="219" t="str">
        <f>IF(AND(BT100=intermediates!$B$27*1000,BT99&lt;&gt;intermediates!$B$27*1000),A100,"")</f>
        <v/>
      </c>
      <c r="BV100" s="212">
        <f>BT100*intermediates!$B$43/(conversions!$C$1*intermediates!$B$42)</f>
        <v>0</v>
      </c>
      <c r="BW100" s="214">
        <f t="shared" si="153"/>
        <v>20109.20576563153</v>
      </c>
      <c r="BX100" s="214">
        <f t="shared" si="154"/>
        <v>10982.138652105787</v>
      </c>
      <c r="BY100" s="227">
        <f>IF(OR(BQ100&gt;0,BT100&lt;&gt;intermediates!$B$27*1000),MAX(0,(BX100-BX99)/AM99),0.000000000001)</f>
        <v>2.9986327406272422E-2</v>
      </c>
      <c r="BZ100" s="322">
        <f>BH100*intermediates!$B$49*1000000</f>
        <v>0</v>
      </c>
      <c r="CA100" s="322">
        <f>BI100*conversions!$C$1*1000000*intermediates!$B$50</f>
        <v>0</v>
      </c>
      <c r="CB100" s="322">
        <f>BT100*1000000*intermediates!$B$49</f>
        <v>0</v>
      </c>
      <c r="CC100" s="214">
        <f>BW100*conversions!$C$1*1000000/L100</f>
        <v>24298.547591381921</v>
      </c>
      <c r="CD100" s="173">
        <f t="shared" si="100"/>
        <v>2044</v>
      </c>
      <c r="CE100" s="173"/>
      <c r="CF100" s="173"/>
      <c r="CG100" s="173"/>
      <c r="CH100" s="173"/>
      <c r="CI100" s="173">
        <f t="shared" si="155"/>
        <v>4608.1140350666155</v>
      </c>
      <c r="CJ100" s="173">
        <f t="shared" si="156"/>
        <v>1562.4016841013577</v>
      </c>
      <c r="CK100" s="173">
        <f t="shared" si="157"/>
        <v>1313.5616990975902</v>
      </c>
      <c r="CL100" s="173">
        <f t="shared" si="158"/>
        <v>1642.9896952601796</v>
      </c>
      <c r="CM100" s="173"/>
      <c r="CN100" s="173"/>
      <c r="CO100" s="329">
        <f t="shared" si="169"/>
        <v>10982.138652105787</v>
      </c>
      <c r="CP100" s="174">
        <f t="shared" si="159"/>
        <v>15.844782086350628</v>
      </c>
      <c r="CQ100" s="228">
        <f t="shared" si="160"/>
        <v>7.666666666666667</v>
      </c>
      <c r="CR100" s="228">
        <f t="shared" si="170"/>
        <v>92</v>
      </c>
      <c r="CS100" s="214">
        <f t="shared" ca="1" si="161"/>
        <v>30.797737682123632</v>
      </c>
      <c r="CT100" s="190">
        <f t="shared" ca="1" si="162"/>
        <v>3.1897557061934259</v>
      </c>
      <c r="CU100" s="190">
        <f t="shared" ca="1" si="187"/>
        <v>30.797737682123632</v>
      </c>
      <c r="CV100" s="198">
        <f>CV99+CP100</f>
        <v>3143.0792687376584</v>
      </c>
      <c r="CW100" s="198">
        <f t="shared" ca="1" si="171"/>
        <v>3413.1603496876</v>
      </c>
      <c r="CX100" s="198">
        <f t="shared" ca="1" si="172"/>
        <v>3319.581347004711</v>
      </c>
      <c r="CY100" s="198">
        <f t="shared" ca="1" si="173"/>
        <v>-93.579002682889822</v>
      </c>
      <c r="CZ100" s="199">
        <f ca="1">IF(CX100&lt;intermediates!$B$55,intermediates!$B$56+(CX100-intermediates!$B$55)*intermediates!$B$53,intermediates!$B$56+(data!CX100-intermediates!$B$55)*intermediates!$B$58)</f>
        <v>1.7742790890916462</v>
      </c>
      <c r="DG100" s="201">
        <f>IF(A100&gt;MAX(intermediates!B$31,intermediates!$B$32),DG99,DG99+intermediates!$B$60*DG$73)</f>
        <v>17596002943750</v>
      </c>
      <c r="DH100" s="201">
        <f>IF(A100&gt;MAX(intermediates!B$31,intermediates!$B$32),DH99,DH99+intermediates!$B$61*DH$73)</f>
        <v>30560191690625</v>
      </c>
      <c r="DI100" s="201">
        <f>IF(A100&gt;MAX(intermediates!B$31,intermediates!$B$32),DI99,DI99+intermediates!$B$62*DI$73)</f>
        <v>39317912831000</v>
      </c>
      <c r="DJ100" s="221"/>
      <c r="EE100" s="218"/>
      <c r="EF100" s="212">
        <f>$EF$69+intermediates!$B$90*(A100-2013)*intermediates!$B$92+intermediates!$B$91*intermediates!$B$92*(A100-2013)^2</f>
        <v>2996.7892785492186</v>
      </c>
      <c r="EH100" s="212">
        <f>IF(A100&lt;intermediates!$B$29,data!EH99,IF(A100&lt;intermediates!$B$31,data!$EH$69+(intermediates!$B$93-data!$EH$69)*(data!A100-intermediates!$B$29)/(intermediates!$B$31-intermediates!$B$29),intermediates!$B$93))</f>
        <v>6.0144480407926248E-2</v>
      </c>
      <c r="EI100" s="212">
        <f t="shared" si="128"/>
        <v>6.0144480407926248E-2</v>
      </c>
      <c r="EN100" s="218"/>
      <c r="EO100" s="212">
        <f t="shared" si="129"/>
        <v>2816.5489444988316</v>
      </c>
      <c r="EQ100" s="212">
        <f t="shared" si="130"/>
        <v>180.24033405038699</v>
      </c>
      <c r="ET100" s="214">
        <f>IF(A100&lt;intermediates!$B$29,ET99+intermediates!$B$63,ET99+intermediates!$B$63*intermediates!$B$67)</f>
        <v>1094.9948338689569</v>
      </c>
      <c r="EU100" s="215">
        <f t="shared" si="131"/>
        <v>1094.9948338689569</v>
      </c>
      <c r="EV100" s="216">
        <f>data!EU100*conversions!$C$13</f>
        <v>1.2734789917895968</v>
      </c>
      <c r="EX100" s="212">
        <f>intermediates!$B$64+intermediates!$B$64*(EXP(-(data!A100-intermediates!$B$66)/intermediates!$B$65)-1)</f>
        <v>1.2276951745692296E-2</v>
      </c>
      <c r="EY100" s="217">
        <f>IF(A100&lt;intermediates!$B$29,data!EX100,data!EY99+(data!EX100-data!EX99)*intermediates!$B$68)</f>
        <v>1.2276951745692296E-2</v>
      </c>
      <c r="EZ100" s="217">
        <f t="shared" si="132"/>
        <v>1.2276951745692296E-2</v>
      </c>
      <c r="FB100" s="212">
        <f>intermediates!$B$94+intermediates!$B$95+(intermediates!$B$95*(EXP(-(data!A100-intermediates!$B$97)/intermediates!$B$96)-1))</f>
        <v>1.6494528448065637</v>
      </c>
      <c r="FC100" s="217">
        <f>IF(A100&lt;intermediates!$B$29,data!FB100,data!FC99+(data!FB100-data!FB99)*intermediates!$B$68)</f>
        <v>1.6494528448065637</v>
      </c>
      <c r="FD100" s="212">
        <f t="shared" si="133"/>
        <v>1.6494528448065637</v>
      </c>
      <c r="FF100" s="184">
        <f>intermediates!$B$98+intermediates!$B$99*EXP(-(A100-intermediates!$B$101)/intermediates!$B$100)</f>
        <v>0.88529042612598052</v>
      </c>
      <c r="FG100" s="184">
        <f t="shared" si="101"/>
        <v>0.88529042612598052</v>
      </c>
      <c r="FI100" s="184">
        <f>intermediates!$B$102+intermediates!$B$103*EXP(-(A100-intermediates!$B$105)/intermediates!$B$104)</f>
        <v>1.8468486095739908E-2</v>
      </c>
      <c r="FJ100" s="184">
        <f t="shared" si="134"/>
        <v>1.8468486095739908E-2</v>
      </c>
      <c r="FL100" s="184">
        <f>intermediates!$B$106</f>
        <v>4.5616870531049965E-2</v>
      </c>
      <c r="FM100" s="184">
        <f t="shared" si="135"/>
        <v>4.5616870531049965E-2</v>
      </c>
      <c r="FN100" s="218">
        <f>IF(A100&lt;intermediates!$B$29,0,IF(A100&lt;intermediates!$B$31,(data!A100-intermediates!$B$29)/(intermediates!$B$31-intermediates!$B$29),1))</f>
        <v>0.76666666666666672</v>
      </c>
      <c r="FO100" s="218">
        <f t="shared" si="176"/>
        <v>635193785756401.5</v>
      </c>
      <c r="FP100" s="218">
        <f t="shared" si="177"/>
        <v>717497633557386.75</v>
      </c>
      <c r="FQ100" s="218">
        <f t="shared" si="178"/>
        <v>8808683824832.4512</v>
      </c>
      <c r="FR100" s="218">
        <f t="shared" si="179"/>
        <v>1183478512813209</v>
      </c>
      <c r="FS100" s="218">
        <f t="shared" si="180"/>
        <v>1080807393977.9348</v>
      </c>
      <c r="FT100" s="218">
        <f>intermediates!$B$69*data!EU100/intermediates!$B$71</f>
        <v>2.7871273461006738</v>
      </c>
      <c r="FU100" s="218">
        <f>BC100*conversions!$C$1*1000000</f>
        <v>15324886489471.885</v>
      </c>
      <c r="FV100" s="218">
        <f t="shared" si="184"/>
        <v>5498452200582.8486</v>
      </c>
      <c r="FX100" s="221"/>
      <c r="FY100" s="221"/>
      <c r="FZ100" s="221"/>
      <c r="GA100" s="218">
        <f t="shared" si="102"/>
        <v>977.11333123140912</v>
      </c>
      <c r="GB100" s="218">
        <f>GA100*1000000*10000*intermediates!$B$71/(intermediates!$B$72*data!EU100)</f>
        <v>4382259984453.3379</v>
      </c>
      <c r="GC100" s="218">
        <f t="shared" si="181"/>
        <v>9064826358942.7266</v>
      </c>
      <c r="GD100" s="218">
        <f t="shared" si="144"/>
        <v>20026345937956.848</v>
      </c>
      <c r="GE100" s="218">
        <f t="shared" si="182"/>
        <v>21397620049813.707</v>
      </c>
      <c r="GF100" s="218">
        <f t="shared" si="183"/>
        <v>395181648371.90991</v>
      </c>
      <c r="GG100" s="218">
        <f t="shared" si="136"/>
        <v>976092463484.95081</v>
      </c>
      <c r="GH100" s="218">
        <f t="shared" si="103"/>
        <v>9644914744850.5078</v>
      </c>
      <c r="GI100" s="218">
        <f t="shared" si="145"/>
        <v>500719008070.1543</v>
      </c>
      <c r="GJ100" s="218">
        <f>ET100*intermediates!$B$73/intermediates!$B$71</f>
        <v>4.1806910191510109</v>
      </c>
      <c r="GK100" s="218">
        <f>CL100*conversions!$C$1*1000000/data!GJ100</f>
        <v>4584938954723.6436</v>
      </c>
      <c r="GL100" s="218">
        <f>MIN(1,FN100)*(intermediates!$B$75-data!$GL$69)+data!$GL$69</f>
        <v>0.77605491578329056</v>
      </c>
      <c r="GM100" s="218">
        <f>GL100*intermediates!$B$74*(FS100+GC100+GK100+GG100+GF100+GB100+FV100)</f>
        <v>3024583896015.0918</v>
      </c>
      <c r="GN100" s="218">
        <f>MIN(1,FN100)*intermediates!$B$76</f>
        <v>9.1999999999999998E-2</v>
      </c>
      <c r="GO100" s="218">
        <f t="shared" si="137"/>
        <v>2668657146850.8242</v>
      </c>
      <c r="GP100" s="218">
        <f>IF(A100&gt;intermediates!$B$29,MIN(1,(A100-intermediates!$B$29)/(intermediates!$B$31-intermediates!$B$29))*intermediates!$B$77,0)</f>
        <v>0.115</v>
      </c>
      <c r="GQ100" s="218">
        <f>IF(AND(A100&gt;intermediates!$B$29+intermediates!$B$30,data!GP100&lt;intermediates!$B$77),1,0)</f>
        <v>0</v>
      </c>
      <c r="GR100" s="218">
        <f t="shared" si="104"/>
        <v>5537962382953.125</v>
      </c>
      <c r="GS100" s="218">
        <f t="shared" si="105"/>
        <v>46022446255188.844</v>
      </c>
      <c r="GT100" s="218">
        <f t="shared" si="97"/>
        <v>87474107465375</v>
      </c>
      <c r="GU100" s="218">
        <f t="shared" si="106"/>
        <v>44855875213953.125</v>
      </c>
      <c r="GV100" s="218">
        <f t="shared" si="107"/>
        <v>29007142900552.445</v>
      </c>
      <c r="GW100" s="218">
        <f t="shared" si="108"/>
        <v>2133748379186.1563</v>
      </c>
      <c r="GX100" s="218">
        <f>MIN(intermediates!$B$88,FN100*intermediates!$B$87*GO100)</f>
        <v>1022985239626.1493</v>
      </c>
      <c r="GY100" s="218">
        <f t="shared" si="109"/>
        <v>1645671907224.6748</v>
      </c>
      <c r="GZ100" s="218">
        <f>MIN(intermediates!$B$88-GX100,intermediates!$B$87*data!GW100*FN100)</f>
        <v>817936878688.02661</v>
      </c>
      <c r="HA100" s="218">
        <f t="shared" si="138"/>
        <v>1315811500498.1296</v>
      </c>
      <c r="HB100" s="218">
        <f t="shared" si="139"/>
        <v>1840922118314.1758</v>
      </c>
      <c r="HC100" s="218">
        <f t="shared" si="110"/>
        <v>11770167232555.254</v>
      </c>
      <c r="HD100" s="218">
        <f>HC100*intermediates!$B$79/(10000*1000000000)</f>
        <v>781.23548606445695</v>
      </c>
      <c r="HE100" s="218">
        <f>(GV100*intermediates!$B$80+GV100*GL100*intermediates!$B$82)/(10000*1000000000)</f>
        <v>1034.4673403467903</v>
      </c>
      <c r="HF100" s="218">
        <f>GU100*intermediates!$B$78/(10000*1000000000)</f>
        <v>4516.957586723036</v>
      </c>
      <c r="HG100" s="218">
        <f>HB100*intermediates!$B$81/(10000*1000000000)</f>
        <v>462.74064383125159</v>
      </c>
      <c r="HH100" s="218">
        <f t="shared" si="111"/>
        <v>21.685078743732447</v>
      </c>
      <c r="HI100" s="218">
        <f t="shared" si="112"/>
        <v>15.995239270472268</v>
      </c>
      <c r="HJ100" s="218">
        <f t="shared" si="113"/>
        <v>-33.279689601953464</v>
      </c>
      <c r="HK100" s="218">
        <f ca="1">SUM(HJ100:INDIRECT(ADDRESS(MAX(CELL("row",HJ100)-intermediates!$B$83,69),CELL("col",HJ100))))/intermediates!$B$83+SUM(HH100:INDIRECT(ADDRESS(MAX(CELL("row",HH100)-intermediates!$B$84,69),CELL("col",HH100))))/intermediates!$B$84+SUM(HI100:INDIRECT(ADDRESS(MAX(CELL("row",HI100)-intermediates!$B$85,69),CELL("col",HI100))))/intermediates!$B$85</f>
        <v>-22.61962226243967</v>
      </c>
      <c r="HL100" s="218">
        <f t="shared" ca="1" si="163"/>
        <v>-268.50207826705139</v>
      </c>
      <c r="HM100" s="188">
        <f t="shared" si="114"/>
        <v>2044</v>
      </c>
      <c r="HQ100" s="185">
        <f t="shared" si="115"/>
        <v>1140.9588466812277</v>
      </c>
      <c r="HR100" s="185">
        <f t="shared" si="116"/>
        <v>569.48076716106289</v>
      </c>
      <c r="HS100" s="185">
        <f t="shared" si="117"/>
        <v>453.87550656186005</v>
      </c>
      <c r="HT100" s="185">
        <f t="shared" si="118"/>
        <v>474.86719136085003</v>
      </c>
      <c r="HU100" s="185">
        <f t="shared" si="119"/>
        <v>313.25949460160592</v>
      </c>
      <c r="HV100" s="185">
        <f t="shared" si="120"/>
        <v>276.39576808858391</v>
      </c>
      <c r="HW100" s="185">
        <f t="shared" si="121"/>
        <v>573.57288038603804</v>
      </c>
      <c r="HX100" s="185">
        <f t="shared" si="122"/>
        <v>51.860020683219069</v>
      </c>
      <c r="HY100" s="185">
        <f t="shared" si="123"/>
        <v>912.32511245857199</v>
      </c>
      <c r="HZ100" s="185">
        <f t="shared" si="140"/>
        <v>3802.4104548412283</v>
      </c>
      <c r="IA100" s="185">
        <f t="shared" si="141"/>
        <v>4766.595587983019</v>
      </c>
      <c r="IB100" s="185">
        <f t="shared" si="124"/>
        <v>2357.442555681268</v>
      </c>
      <c r="IC100" s="185">
        <f t="shared" si="175"/>
        <v>4987.5902642264173</v>
      </c>
      <c r="ID100" s="185">
        <f t="shared" si="125"/>
        <v>4072.1996564408078</v>
      </c>
      <c r="IE100" s="184">
        <f t="shared" si="142"/>
        <v>-0.29104167510810663</v>
      </c>
      <c r="IF100" s="184">
        <f t="shared" si="143"/>
        <v>-5.4269116175053297E-2</v>
      </c>
    </row>
    <row r="101" spans="1:240" x14ac:dyDescent="0.3">
      <c r="A101" s="184">
        <v>2045</v>
      </c>
      <c r="E101" s="207">
        <v>8836426.1160000004</v>
      </c>
      <c r="F101" s="207">
        <v>9481803.2719999999</v>
      </c>
      <c r="G101" s="207">
        <v>10134164.418</v>
      </c>
      <c r="I101" s="207">
        <f t="shared" si="164"/>
        <v>8836426116</v>
      </c>
      <c r="J101" s="207">
        <f t="shared" si="164"/>
        <v>9481803272</v>
      </c>
      <c r="K101" s="207">
        <f t="shared" si="164"/>
        <v>10134164418</v>
      </c>
      <c r="L101" s="187">
        <f>IF(intermediates!$B$4&gt;=2,(intermediates!$B$4-2)*K101+(1-(intermediates!$B$4-2))*J101,(intermediates!$B$4-1)*J101+(1-(intermediates!$B$4-1))*I101)</f>
        <v>9722693794.7270012</v>
      </c>
      <c r="AJ101" s="184">
        <f>IF(intermediates!$B$46=0,$AJ$74+(intermediates!$B$15-$AJ$74)*MIN(1,(data!A101-data!$A$74)/(intermediates!$B$32-data!$A$74)),IF(A101&lt;2021,$AJ$74+(intermediates!$B$15-$AJ$74)*MIN(1,(data!A101-data!$A$74)/(intermediates!$B$32-data!$A$74)),intermediates!$B$47+(intermediates!$B$15-intermediates!$B$47)*MIN(1,(data!A101-$A$77)/(intermediates!$B$32-$A$77))))</f>
        <v>24417.834222482612</v>
      </c>
      <c r="AK101" s="192">
        <f t="shared" si="146"/>
        <v>24417.834222482612</v>
      </c>
      <c r="AL101" s="192">
        <f t="shared" si="185"/>
        <v>237407125275604.31</v>
      </c>
      <c r="AM101" s="192">
        <f>data!AL101/(1000000*conversions!$C$1)</f>
        <v>20349.182166480372</v>
      </c>
      <c r="AN101" s="192">
        <f>IF(intermediates!$B$13=1,($AJ$74+(27400-$AJ$74)*MIN(1,(data!A101-data!$A$74)/(intermediates!$B$32-data!$A$74)))*L101/(1000000*conversions!$C$1),data!AM101)</f>
        <v>20349.182166480372</v>
      </c>
      <c r="AV101" s="214">
        <f>IF(A101&lt;intermediates!$B$29,0,IF(A101&lt;intermediates!$B$31,(data!A101-intermediates!$B$29)*intermediates!$B$26/(intermediates!$B$31-intermediates!$B$29),intermediates!$B$26))</f>
        <v>8</v>
      </c>
      <c r="AW101" s="212">
        <f>MIN(AW100+intermediates!$B$16,intermediates!$B$17*data!$AW$74)</f>
        <v>1586.001945288567</v>
      </c>
      <c r="AX101" s="212">
        <f>AV101*1000/conversions!$C$16/intermediates!$B$40</f>
        <v>6549.6467974450252</v>
      </c>
      <c r="AY101" s="212">
        <f>AX101*(1-intermediates!$B$39)*intermediates!$B$28/(conversions!$C$2)</f>
        <v>1714.4240298367088</v>
      </c>
      <c r="AZ101" s="213">
        <f>IF(A101&lt;intermediates!$B$29,0,MIN(intermediates!$B$25,intermediates!$B$25*(A101-intermediates!$B$29)/(intermediates!$B$31-intermediates!$B$29)))</f>
        <v>0</v>
      </c>
      <c r="BA101" s="212">
        <f>IF(A101&lt;intermediates!$B$29,data!$BA$74,IF(intermediates!$B$23&gt;data!$BA$74,MIN(intermediates!$B$23,data!$BA$74+(intermediates!$B$23-data!$BA$74)*((data!A101-intermediates!$B$29)/(intermediates!$B$31-intermediates!$B$29))),MAX(intermediates!$B$23,data!$BA$74+(intermediates!$B$23-data!$BA$74)*((data!A101-intermediates!$B$29)/(intermediates!$B$31-intermediates!$B$29)))))</f>
        <v>6.7418352473142443E-2</v>
      </c>
      <c r="BB101" s="212">
        <f t="shared" si="147"/>
        <v>1371.908335839958</v>
      </c>
      <c r="BC101" s="212">
        <f t="shared" si="166"/>
        <v>1371.908335839958</v>
      </c>
      <c r="BD101" s="212">
        <f t="shared" si="167"/>
        <v>0</v>
      </c>
      <c r="BE101" s="214">
        <f>MAX(0,MIN(1,(data!A101-intermediates!$B$29)/(intermediates!$B$31-intermediates!$B$29)))*((intermediates!$B$38*L101)-$BE$69*1000000000)/1000000000+$BE$69</f>
        <v>1016.6891616706848</v>
      </c>
      <c r="BF101" s="214">
        <f t="shared" si="99"/>
        <v>1016.6891616706848</v>
      </c>
      <c r="BG101" s="214">
        <f t="shared" si="168"/>
        <v>0</v>
      </c>
      <c r="BH101" s="214">
        <f>BD101*conversions!$C$2/conversions!$C$17+BG101*conversions!$C$6/conversions!$C$10</f>
        <v>0</v>
      </c>
      <c r="BI101" s="214">
        <f>BH101*intermediates!$B$41*conversions!$C$11/(conversions!$C$2*conversions!$C$6*intermediates!$B$42)</f>
        <v>0</v>
      </c>
      <c r="BJ101" s="214">
        <f>BH101*intermediates!$B$43/(conversions!$C$1*intermediates!$B$42)</f>
        <v>0</v>
      </c>
      <c r="BK101" s="214">
        <f t="shared" si="148"/>
        <v>0</v>
      </c>
      <c r="BL101" s="214">
        <f t="shared" si="149"/>
        <v>20349.182166480372</v>
      </c>
      <c r="BM101" s="214">
        <f t="shared" si="150"/>
        <v>15676.847855515138</v>
      </c>
      <c r="BN101" s="214">
        <f>IF(A101&lt;intermediates!$B$29,MIN(BO100+intermediates!$B$33*AN100),MIN(BO100*intermediates!$B$35,BO100+intermediates!$B$37*AN100))</f>
        <v>11585.139880074115</v>
      </c>
      <c r="BO101" s="212">
        <f>IF(A101&lt;intermediates!$B$29,MIN(BM101,BO100+intermediates!$B$33*AN100),MIN(BM101,BO100*intermediates!$B$35,BO100+intermediates!$B$37*AN100))</f>
        <v>11585.139880074115</v>
      </c>
      <c r="BP101" s="214">
        <f t="shared" si="151"/>
        <v>0</v>
      </c>
      <c r="BQ101" s="214">
        <f t="shared" si="152"/>
        <v>4091.7079754410224</v>
      </c>
      <c r="BR101" s="212" t="str">
        <f t="shared" si="186"/>
        <v/>
      </c>
      <c r="BS101" s="212">
        <f>BP101*conversions!$C$1*intermediates!$B$42/intermediates!$B$43</f>
        <v>0</v>
      </c>
      <c r="BT101" s="214">
        <f>MIN(BT100+BS101,intermediates!$B$27*1000)</f>
        <v>0</v>
      </c>
      <c r="BU101" s="219" t="str">
        <f>IF(AND(BT101=intermediates!$B$27*1000,BT100&lt;&gt;intermediates!$B$27*1000),A101,"")</f>
        <v/>
      </c>
      <c r="BV101" s="212">
        <f>BT101*intermediates!$B$43/(conversions!$C$1*intermediates!$B$42)</f>
        <v>0</v>
      </c>
      <c r="BW101" s="214">
        <f t="shared" si="153"/>
        <v>20349.182166480372</v>
      </c>
      <c r="BX101" s="214">
        <f t="shared" si="154"/>
        <v>11585.139880074115</v>
      </c>
      <c r="BY101" s="227">
        <f>IF(OR(BQ101&gt;0,BT101&lt;&gt;intermediates!$B$27*1000),MAX(0,(BX101-BX100)/AM100),0.000000000001)</f>
        <v>2.9986327406272453E-2</v>
      </c>
      <c r="BZ101" s="322">
        <f>BH101*intermediates!$B$49*1000000</f>
        <v>0</v>
      </c>
      <c r="CA101" s="322">
        <f>BI101*conversions!$C$1*1000000*intermediates!$B$50</f>
        <v>0</v>
      </c>
      <c r="CB101" s="322">
        <f>BT101*1000000*intermediates!$B$49</f>
        <v>0</v>
      </c>
      <c r="CC101" s="214">
        <f>BW101*conversions!$C$1*1000000/L101</f>
        <v>24417.834222482616</v>
      </c>
      <c r="CD101" s="173">
        <f t="shared" si="100"/>
        <v>2045</v>
      </c>
      <c r="CE101" s="173"/>
      <c r="CF101" s="173"/>
      <c r="CG101" s="173"/>
      <c r="CH101" s="173"/>
      <c r="CI101" s="173">
        <f t="shared" si="155"/>
        <v>4091.7079754410224</v>
      </c>
      <c r="CJ101" s="173">
        <f t="shared" si="156"/>
        <v>1586.001945288567</v>
      </c>
      <c r="CK101" s="173">
        <f t="shared" si="157"/>
        <v>1371.908335839958</v>
      </c>
      <c r="CL101" s="173">
        <f t="shared" si="158"/>
        <v>1714.4240298367088</v>
      </c>
      <c r="CM101" s="173"/>
      <c r="CN101" s="173"/>
      <c r="CO101" s="329">
        <f t="shared" si="169"/>
        <v>11585.139880074115</v>
      </c>
      <c r="CP101" s="174">
        <f t="shared" si="159"/>
        <v>14.069144282994872</v>
      </c>
      <c r="CQ101" s="228">
        <f t="shared" si="160"/>
        <v>8</v>
      </c>
      <c r="CR101" s="228">
        <f>CR100+CQ101</f>
        <v>100</v>
      </c>
      <c r="CS101" s="214">
        <f t="shared" ca="1" si="161"/>
        <v>29.470195218795169</v>
      </c>
      <c r="CT101" s="190">
        <f ca="1">1000000000*CS101/L101</f>
        <v>3.0310730586597323</v>
      </c>
      <c r="CU101" s="190">
        <f ca="1">CT101*L101/1000000000</f>
        <v>29.470195218795169</v>
      </c>
      <c r="CV101" s="198">
        <f t="shared" si="174"/>
        <v>3157.1484130206532</v>
      </c>
      <c r="CW101" s="198">
        <f t="shared" ca="1" si="171"/>
        <v>3450.6305449063952</v>
      </c>
      <c r="CX101" s="198">
        <f t="shared" ca="1" si="172"/>
        <v>3349.0515422235062</v>
      </c>
      <c r="CY101" s="198">
        <f t="shared" ca="1" si="173"/>
        <v>-101.57900268288982</v>
      </c>
      <c r="CZ101" s="199">
        <f ca="1">IF(CX101&lt;intermediates!$B$55,intermediates!$B$56+(CX101-intermediates!$B$55)*intermediates!$B$53,intermediates!$B$56+(data!CX101-intermediates!$B$55)*intermediates!$B$58)</f>
        <v>1.7903049723429789</v>
      </c>
      <c r="DG101" s="201">
        <f>IF(A101&gt;MAX(intermediates!B$31,intermediates!$B$32),DG100,DG100+intermediates!$B$60*DG$73)</f>
        <v>17669433885000</v>
      </c>
      <c r="DH101" s="201">
        <f>IF(A101&gt;MAX(intermediates!B$31,intermediates!$B$32),DH100,DH100+intermediates!$B$61*DH$73)</f>
        <v>30482264407500</v>
      </c>
      <c r="DI101" s="201">
        <f>IF(A101&gt;MAX(intermediates!B$31,intermediates!$B$32),DI100,DI100+intermediates!$B$62*DI$73)</f>
        <v>39292971224000</v>
      </c>
      <c r="DJ101" s="221"/>
      <c r="EE101" s="218"/>
      <c r="EF101" s="212">
        <f>$EF$69+intermediates!$B$90*(A101-2013)*intermediates!$B$92+intermediates!$B$91*intermediates!$B$92*(A101-2013)^2</f>
        <v>3002.1963685492183</v>
      </c>
      <c r="EH101" s="212">
        <f>IF(A101&lt;intermediates!$B$29,data!EH100,IF(A101&lt;intermediates!$B$31,data!$EH$69+(intermediates!$B$93-data!$EH$69)*(data!A101-intermediates!$B$29)/(intermediates!$B$31-intermediates!$B$29),intermediates!$B$93))</f>
        <v>5.5155572271208875E-2</v>
      </c>
      <c r="EI101" s="212">
        <f t="shared" si="128"/>
        <v>5.5155572271208875E-2</v>
      </c>
      <c r="EN101" s="218"/>
      <c r="EO101" s="212">
        <f t="shared" si="129"/>
        <v>2836.6085097713408</v>
      </c>
      <c r="EQ101" s="212">
        <f t="shared" si="130"/>
        <v>165.5878587778775</v>
      </c>
      <c r="ET101" s="214">
        <f>IF(A101&lt;intermediates!$B$29,ET100+intermediates!$B$63,ET100+intermediates!$B$63*intermediates!$B$67)</f>
        <v>1104.9704232603997</v>
      </c>
      <c r="EU101" s="215">
        <f t="shared" si="131"/>
        <v>1104.9704232603997</v>
      </c>
      <c r="EV101" s="216">
        <f>data!EU101*conversions!$C$13</f>
        <v>1.2850806022518448</v>
      </c>
      <c r="EX101" s="212">
        <f>intermediates!$B$64+intermediates!$B$64*(EXP(-(data!A101-intermediates!$B$66)/intermediates!$B$65)-1)</f>
        <v>1.2048717240015619E-2</v>
      </c>
      <c r="EY101" s="217">
        <f>IF(A101&lt;intermediates!$B$29,data!EX101,data!EY100+(data!EX101-data!EX100)*intermediates!$B$68)</f>
        <v>1.2048717240015619E-2</v>
      </c>
      <c r="EZ101" s="217">
        <f t="shared" si="132"/>
        <v>1.2048717240015619E-2</v>
      </c>
      <c r="FB101" s="212">
        <f>intermediates!$B$94+intermediates!$B$95+(intermediates!$B$95*(EXP(-(data!A101-intermediates!$B$97)/intermediates!$B$96)-1))</f>
        <v>1.6453771972043543</v>
      </c>
      <c r="FC101" s="217">
        <f>IF(A101&lt;intermediates!$B$29,data!FB101,data!FC100+(data!FB101-data!FB100)*intermediates!$B$68)</f>
        <v>1.6453771972043543</v>
      </c>
      <c r="FD101" s="212">
        <f t="shared" si="133"/>
        <v>1.6453771972043543</v>
      </c>
      <c r="FF101" s="184">
        <f>intermediates!$B$98+intermediates!$B$99*EXP(-(A101-intermediates!$B$101)/intermediates!$B$100)</f>
        <v>0.88583109014493899</v>
      </c>
      <c r="FG101" s="184">
        <f t="shared" si="101"/>
        <v>0.88583109014493899</v>
      </c>
      <c r="FI101" s="184">
        <f>intermediates!$B$102+intermediates!$B$103*EXP(-(A101-intermediates!$B$105)/intermediates!$B$104)</f>
        <v>1.8314660362531897E-2</v>
      </c>
      <c r="FJ101" s="184">
        <f t="shared" si="134"/>
        <v>1.8314660362531897E-2</v>
      </c>
      <c r="FL101" s="184">
        <f>intermediates!$B$106</f>
        <v>4.5616870531049965E-2</v>
      </c>
      <c r="FM101" s="184">
        <f t="shared" si="135"/>
        <v>4.5616870531049965E-2</v>
      </c>
      <c r="FN101" s="218">
        <f>IF(A101&lt;intermediates!$B$29,0,IF(A101&lt;intermediates!$B$31,(data!A101-intermediates!$B$29)/(intermediates!$B$31-intermediates!$B$29),1))</f>
        <v>0.8</v>
      </c>
      <c r="FO101" s="218">
        <f t="shared" si="176"/>
        <v>587635417162957.25</v>
      </c>
      <c r="FP101" s="218">
        <f t="shared" si="177"/>
        <v>663371859150720</v>
      </c>
      <c r="FQ101" s="218">
        <f t="shared" si="178"/>
        <v>7992779955890.4932</v>
      </c>
      <c r="FR101" s="218">
        <f t="shared" si="179"/>
        <v>1091496930313653.4</v>
      </c>
      <c r="FS101" s="218">
        <f t="shared" si="180"/>
        <v>987806467337.84009</v>
      </c>
      <c r="FT101" s="218">
        <f>intermediates!$B$69*data!EU101/intermediates!$B$71</f>
        <v>2.812518550813599</v>
      </c>
      <c r="FU101" s="218">
        <f>BC101*conversions!$C$1*1000000</f>
        <v>16005597251466.176</v>
      </c>
      <c r="FV101" s="218">
        <f t="shared" si="184"/>
        <v>5690841486836.1006</v>
      </c>
      <c r="FX101" s="221"/>
      <c r="FY101" s="221"/>
      <c r="FZ101" s="221"/>
      <c r="GA101" s="218">
        <f t="shared" si="102"/>
        <v>1016.6891616706848</v>
      </c>
      <c r="GB101" s="218">
        <f>GA101*1000000*10000*intermediates!$B$71/(intermediates!$B$72*data!EU101)</f>
        <v>4518588692404.2656</v>
      </c>
      <c r="GC101" s="218">
        <f t="shared" si="181"/>
        <v>9110206492446.8359</v>
      </c>
      <c r="GD101" s="218">
        <f t="shared" si="144"/>
        <v>20307443139025.043</v>
      </c>
      <c r="GE101" s="218">
        <f t="shared" si="182"/>
        <v>21694399297960.293</v>
      </c>
      <c r="GF101" s="218">
        <f t="shared" si="183"/>
        <v>397325554911.29321</v>
      </c>
      <c r="GG101" s="218">
        <f t="shared" si="136"/>
        <v>989630604023.95593</v>
      </c>
      <c r="GH101" s="218">
        <f t="shared" si="103"/>
        <v>9642017484662.3926</v>
      </c>
      <c r="GI101" s="218">
        <f t="shared" si="145"/>
        <v>455995475122.2832</v>
      </c>
      <c r="GJ101" s="218">
        <f>ET101*intermediates!$B$73/intermediates!$B$71</f>
        <v>4.2187778262203981</v>
      </c>
      <c r="GK101" s="218">
        <f>CL101*conversions!$C$1*1000000/data!GJ101</f>
        <v>4741091971498.2266</v>
      </c>
      <c r="GL101" s="218">
        <f>MIN(1,FN101)*(intermediates!$B$75-data!$GL$69)+data!$GL$69</f>
        <v>0.80804707067139192</v>
      </c>
      <c r="GM101" s="218">
        <f>GL101*intermediates!$B$74*(FS101+GC101+GK101+GG101+GF101+GB101+FV101)</f>
        <v>3204168192306.7661</v>
      </c>
      <c r="GN101" s="218">
        <f>MIN(1,FN101)*intermediates!$B$76</f>
        <v>9.6000000000000002E-2</v>
      </c>
      <c r="GO101" s="218">
        <f t="shared" si="137"/>
        <v>2845407308329.4673</v>
      </c>
      <c r="GP101" s="218">
        <f>IF(A101&gt;intermediates!$B$29,MIN(1,(A101-intermediates!$B$29)/(intermediates!$B$31-intermediates!$B$29))*intermediates!$B$77,0)</f>
        <v>0.12</v>
      </c>
      <c r="GQ101" s="218">
        <f>IF(AND(A101&gt;intermediates!$B$29+intermediates!$B$30,data!GP101&lt;intermediates!$B$77),1,0)</f>
        <v>0</v>
      </c>
      <c r="GR101" s="218">
        <f t="shared" si="104"/>
        <v>5778203795100</v>
      </c>
      <c r="GS101" s="218">
        <f t="shared" si="105"/>
        <v>46256050521085.25</v>
      </c>
      <c r="GT101" s="218">
        <f t="shared" ref="GT101:GT132" si="188">SUM(DG101:DI101)</f>
        <v>87444669516500</v>
      </c>
      <c r="GU101" s="218">
        <f t="shared" si="106"/>
        <v>45071175019100</v>
      </c>
      <c r="GV101" s="218">
        <f t="shared" si="107"/>
        <v>29639659461765.285</v>
      </c>
      <c r="GW101" s="218">
        <f t="shared" si="108"/>
        <v>1895647771414.75</v>
      </c>
      <c r="GX101" s="218">
        <f>MIN(intermediates!$B$88,FN101*intermediates!$B$87*GO101)</f>
        <v>1138162923331.7869</v>
      </c>
      <c r="GY101" s="218">
        <f t="shared" si="109"/>
        <v>1707244384997.6804</v>
      </c>
      <c r="GZ101" s="218">
        <f>MIN(intermediates!$B$88-GX101,intermediates!$B$87*data!GW101*FN101)</f>
        <v>758259108565.90002</v>
      </c>
      <c r="HA101" s="218">
        <f t="shared" si="138"/>
        <v>1137388662848.8501</v>
      </c>
      <c r="HB101" s="218">
        <f t="shared" si="139"/>
        <v>1896422031897.687</v>
      </c>
      <c r="HC101" s="218">
        <f t="shared" si="110"/>
        <v>10837413003737.023</v>
      </c>
      <c r="HD101" s="218">
        <f>HC101*intermediates!$B$79/(10000*1000000000)</f>
        <v>719.32466619828165</v>
      </c>
      <c r="HE101" s="218">
        <f>(GV101*intermediates!$B$80+GV101*GL101*intermediates!$B$82)/(10000*1000000000)</f>
        <v>1063.8866415765347</v>
      </c>
      <c r="HF101" s="218">
        <f>GU101*intermediates!$B$78/(10000*1000000000)</f>
        <v>4538.6381376796171</v>
      </c>
      <c r="HG101" s="218">
        <f>HB101*intermediates!$B$81/(10000*1000000000)</f>
        <v>476.69129687013799</v>
      </c>
      <c r="HH101" s="218">
        <f t="shared" si="111"/>
        <v>21.680550956581101</v>
      </c>
      <c r="HI101" s="218">
        <f t="shared" si="112"/>
        <v>13.950653038886401</v>
      </c>
      <c r="HJ101" s="218">
        <f t="shared" si="113"/>
        <v>-32.491518636430897</v>
      </c>
      <c r="HK101" s="218">
        <f ca="1">SUM(HJ101:INDIRECT(ADDRESS(MAX(CELL("row",HJ101)-intermediates!$B$83,69),CELL("col",HJ101))))/intermediates!$B$83+SUM(HH101:INDIRECT(ADDRESS(MAX(CELL("row",HH101)-intermediates!$B$84,69),CELL("col",HH101))))/intermediates!$B$84+SUM(HI101:INDIRECT(ADDRESS(MAX(CELL("row",HI101)-intermediates!$B$85,69),CELL("col",HI101))))/intermediates!$B$85</f>
        <v>-23.401050935800296</v>
      </c>
      <c r="HL101" s="218">
        <f t="shared" ca="1" si="163"/>
        <v>-291.90312920285169</v>
      </c>
      <c r="HM101" s="188">
        <f t="shared" si="114"/>
        <v>2045</v>
      </c>
      <c r="HQ101" s="185">
        <f t="shared" si="115"/>
        <v>1134.353696254333</v>
      </c>
      <c r="HR101" s="185">
        <f t="shared" si="116"/>
        <v>585.31530530381076</v>
      </c>
      <c r="HS101" s="185">
        <f t="shared" si="117"/>
        <v>464.74658030008862</v>
      </c>
      <c r="HT101" s="185">
        <f t="shared" si="118"/>
        <v>487.63152183909227</v>
      </c>
      <c r="HU101" s="185">
        <f t="shared" si="119"/>
        <v>329.5556005316667</v>
      </c>
      <c r="HV101" s="185">
        <f t="shared" si="120"/>
        <v>292.65627082410469</v>
      </c>
      <c r="HW101" s="185">
        <f t="shared" si="121"/>
        <v>594.3007068919261</v>
      </c>
      <c r="HX101" s="185">
        <f t="shared" si="122"/>
        <v>46.900116855432337</v>
      </c>
      <c r="HY101" s="185">
        <f t="shared" si="123"/>
        <v>822.07463534697467</v>
      </c>
      <c r="HZ101" s="185">
        <f t="shared" si="140"/>
        <v>3888.559681945022</v>
      </c>
      <c r="IA101" s="185">
        <f t="shared" si="141"/>
        <v>4757.5344341474292</v>
      </c>
      <c r="IB101" s="185">
        <f t="shared" si="124"/>
        <v>2367.2805414079053</v>
      </c>
      <c r="IC101" s="185">
        <f t="shared" si="175"/>
        <v>4952.5058907660505</v>
      </c>
      <c r="ID101" s="185">
        <f t="shared" si="125"/>
        <v>4041.3667295899127</v>
      </c>
      <c r="IE101" s="184">
        <f t="shared" si="142"/>
        <v>-0.2632639599448055</v>
      </c>
      <c r="IF101" s="184">
        <f t="shared" si="143"/>
        <v>-4.8243940642923408E-2</v>
      </c>
    </row>
    <row r="102" spans="1:240" x14ac:dyDescent="0.3">
      <c r="A102" s="211">
        <v>2046</v>
      </c>
      <c r="E102" s="207">
        <v>8854729.3670000006</v>
      </c>
      <c r="F102" s="207">
        <v>9534854.6730000004</v>
      </c>
      <c r="G102" s="207">
        <v>10224365.073000001</v>
      </c>
      <c r="I102" s="207">
        <f t="shared" si="164"/>
        <v>8854729367</v>
      </c>
      <c r="J102" s="207">
        <f t="shared" si="164"/>
        <v>9534854673</v>
      </c>
      <c r="K102" s="207">
        <f t="shared" si="164"/>
        <v>10224365073</v>
      </c>
      <c r="L102" s="187">
        <f>IF(intermediates!$B$4&gt;=2,(intermediates!$B$4-2)*K102+(1-(intermediates!$B$4-2))*J102,(intermediates!$B$4-1)*J102+(1-(intermediates!$B$4-1))*I102)</f>
        <v>9789462909.0976524</v>
      </c>
      <c r="AJ102" s="184">
        <f>IF(intermediates!$B$46=0,$AJ$74+(intermediates!$B$15-$AJ$74)*MIN(1,(data!A102-data!$A$74)/(intermediates!$B$32-data!$A$74)),IF(A102&lt;2021,$AJ$74+(intermediates!$B$15-$AJ$74)*MIN(1,(data!A102-data!$A$74)/(intermediates!$B$32-data!$A$74)),intermediates!$B$47+(intermediates!$B$15-intermediates!$B$47)*MIN(1,(data!A102-$A$77)/(intermediates!$B$32-$A$77))))</f>
        <v>24537.120853583307</v>
      </c>
      <c r="AK102" s="192">
        <f t="shared" si="146"/>
        <v>24537.120853583307</v>
      </c>
      <c r="AL102" s="192">
        <f t="shared" si="185"/>
        <v>240205234492200.31</v>
      </c>
      <c r="AM102" s="192">
        <f>data!AL102/(1000000*conversions!$C$1)</f>
        <v>20589.020099331457</v>
      </c>
      <c r="AN102" s="192">
        <f>IF(intermediates!$B$13=1,($AJ$74+(27400-$AJ$74)*MIN(1,(data!A102-data!$A$74)/(intermediates!$B$32-data!$A$74)))*L102/(1000000*conversions!$C$1),data!AM102)</f>
        <v>20589.020099331457</v>
      </c>
      <c r="AV102" s="214">
        <f>IF(A102&lt;intermediates!$B$29,0,IF(A102&lt;intermediates!$B$31,(data!A102-intermediates!$B$29)*intermediates!$B$26/(intermediates!$B$31-intermediates!$B$29),intermediates!$B$26))</f>
        <v>8.3333333333333339</v>
      </c>
      <c r="AW102" s="212">
        <f>MIN(AW101+intermediates!$B$16,intermediates!$B$17*data!$AW$74)</f>
        <v>1609.6022064757763</v>
      </c>
      <c r="AX102" s="212">
        <f>AV102*1000/conversions!$C$16/intermediates!$B$40</f>
        <v>6822.5487473385683</v>
      </c>
      <c r="AY102" s="212">
        <f>AX102*(1-intermediates!$B$39)*intermediates!$B$28/(conversions!$C$2)</f>
        <v>1785.8583644132389</v>
      </c>
      <c r="AZ102" s="213">
        <f>IF(A102&lt;intermediates!$B$29,0,MIN(intermediates!$B$25,intermediates!$B$25*(A102-intermediates!$B$29)/(intermediates!$B$31-intermediates!$B$29)))</f>
        <v>0</v>
      </c>
      <c r="BA102" s="212">
        <f>IF(A102&lt;intermediates!$B$29,data!$BA$74,IF(intermediates!$B$23&gt;data!$BA$74,MIN(intermediates!$B$23,data!$BA$74+(intermediates!$B$23-data!$BA$74)*((data!A102-intermediates!$B$29)/(intermediates!$B$31-intermediates!$B$29))),MAX(intermediates!$B$23,data!$BA$74+(intermediates!$B$23-data!$BA$74)*((data!A102-intermediates!$B$29)/(intermediates!$B$31-intermediates!$B$29)))))</f>
        <v>6.9515293727618707E-2</v>
      </c>
      <c r="BB102" s="212">
        <f t="shared" si="147"/>
        <v>1431.2517797688715</v>
      </c>
      <c r="BC102" s="212">
        <f t="shared" si="166"/>
        <v>1431.2517797688715</v>
      </c>
      <c r="BD102" s="212">
        <f t="shared" si="167"/>
        <v>0</v>
      </c>
      <c r="BE102" s="214">
        <f>MAX(0,MIN(1,(data!A102-intermediates!$B$29)/(intermediates!$B$31-intermediates!$B$29)))*((intermediates!$B$38*L102)-$BE$69*1000000000)/1000000000+$BE$69</f>
        <v>1056.7522048626595</v>
      </c>
      <c r="BF102" s="214">
        <f t="shared" si="99"/>
        <v>1056.7522048626595</v>
      </c>
      <c r="BG102" s="214">
        <f t="shared" si="168"/>
        <v>0</v>
      </c>
      <c r="BH102" s="214">
        <f>BD102*conversions!$C$2/conversions!$C$17+BG102*conversions!$C$6/conversions!$C$10</f>
        <v>0</v>
      </c>
      <c r="BI102" s="214">
        <f>BH102*intermediates!$B$41*conversions!$C$11/(conversions!$C$2*conversions!$C$6*intermediates!$B$42)</f>
        <v>0</v>
      </c>
      <c r="BJ102" s="214">
        <f>BH102*intermediates!$B$43/(conversions!$C$1*intermediates!$B$42)</f>
        <v>0</v>
      </c>
      <c r="BK102" s="214">
        <f t="shared" si="148"/>
        <v>0</v>
      </c>
      <c r="BL102" s="214">
        <f t="shared" si="149"/>
        <v>20589.020099331457</v>
      </c>
      <c r="BM102" s="214">
        <f t="shared" si="150"/>
        <v>15762.307748673571</v>
      </c>
      <c r="BN102" s="214">
        <f>IF(A102&lt;intermediates!$B$29,MIN(BO101+intermediates!$B$33*AN101),MIN(BO101*intermediates!$B$35,BO101+intermediates!$B$37*AN101))</f>
        <v>12195.337118968075</v>
      </c>
      <c r="BO102" s="212">
        <f>IF(A102&lt;intermediates!$B$29,MIN(BM102,BO101+intermediates!$B$33*AN101),MIN(BM102,BO101*intermediates!$B$35,BO101+intermediates!$B$37*AN101))</f>
        <v>12195.337118968075</v>
      </c>
      <c r="BP102" s="214">
        <f t="shared" si="151"/>
        <v>0</v>
      </c>
      <c r="BQ102" s="214">
        <f t="shared" si="152"/>
        <v>3566.9706297054945</v>
      </c>
      <c r="BR102" s="212" t="str">
        <f t="shared" si="186"/>
        <v/>
      </c>
      <c r="BS102" s="212">
        <f>BP102*conversions!$C$1*intermediates!$B$42/intermediates!$B$43</f>
        <v>0</v>
      </c>
      <c r="BT102" s="214">
        <f>MIN(BT101+BS102,intermediates!$B$27*1000)</f>
        <v>0</v>
      </c>
      <c r="BU102" s="219" t="str">
        <f>IF(AND(BT102=intermediates!$B$27*1000,BT101&lt;&gt;intermediates!$B$27*1000),A102,"")</f>
        <v/>
      </c>
      <c r="BV102" s="212">
        <f>BT102*intermediates!$B$43/(conversions!$C$1*intermediates!$B$42)</f>
        <v>0</v>
      </c>
      <c r="BW102" s="214">
        <f t="shared" si="153"/>
        <v>20589.020099331457</v>
      </c>
      <c r="BX102" s="214">
        <f t="shared" si="154"/>
        <v>12195.337118968075</v>
      </c>
      <c r="BY102" s="227">
        <f>IF(OR(BQ102&gt;0,BT102&lt;&gt;intermediates!$B$27*1000),MAX(0,(BX102-BX101)/AM101),0.000000000001)</f>
        <v>2.998632740627237E-2</v>
      </c>
      <c r="BZ102" s="322">
        <f>BH102*intermediates!$B$49*1000000</f>
        <v>0</v>
      </c>
      <c r="CA102" s="322">
        <f>BI102*conversions!$C$1*1000000*intermediates!$B$50</f>
        <v>0</v>
      </c>
      <c r="CB102" s="322">
        <f>BT102*1000000*intermediates!$B$49</f>
        <v>0</v>
      </c>
      <c r="CC102" s="214">
        <f>BW102*conversions!$C$1*1000000/L102</f>
        <v>24537.120853583307</v>
      </c>
      <c r="CD102" s="173">
        <f t="shared" ref="CD102:CD133" si="189">A102</f>
        <v>2046</v>
      </c>
      <c r="CE102" s="173"/>
      <c r="CF102" s="173"/>
      <c r="CG102" s="173"/>
      <c r="CH102" s="173"/>
      <c r="CI102" s="173">
        <f t="shared" si="155"/>
        <v>3566.9706297054945</v>
      </c>
      <c r="CJ102" s="173">
        <f t="shared" si="156"/>
        <v>1609.6022064757763</v>
      </c>
      <c r="CK102" s="173">
        <f t="shared" si="157"/>
        <v>1431.2517797688715</v>
      </c>
      <c r="CL102" s="173">
        <f t="shared" si="158"/>
        <v>1785.8583644132389</v>
      </c>
      <c r="CM102" s="173"/>
      <c r="CN102" s="173"/>
      <c r="CO102" s="329">
        <f t="shared" si="169"/>
        <v>12195.337118968075</v>
      </c>
      <c r="CP102" s="174">
        <f t="shared" si="159"/>
        <v>12.264859746527389</v>
      </c>
      <c r="CQ102" s="228">
        <f t="shared" si="160"/>
        <v>8.3333333333333339</v>
      </c>
      <c r="CR102" s="228">
        <f t="shared" si="170"/>
        <v>108.33333333333333</v>
      </c>
      <c r="CS102" s="214">
        <f t="shared" ca="1" si="161"/>
        <v>28.108851541687478</v>
      </c>
      <c r="CT102" s="190">
        <f t="shared" ca="1" si="162"/>
        <v>2.8713374577031234</v>
      </c>
      <c r="CU102" s="190">
        <f t="shared" ca="1" si="187"/>
        <v>28.108851541687478</v>
      </c>
      <c r="CV102" s="198">
        <f t="shared" si="174"/>
        <v>3169.4132727671804</v>
      </c>
      <c r="CW102" s="198">
        <f t="shared" ca="1" si="171"/>
        <v>3487.072729781416</v>
      </c>
      <c r="CX102" s="198">
        <f t="shared" ca="1" si="172"/>
        <v>3377.1603937651935</v>
      </c>
      <c r="CY102" s="198">
        <f t="shared" ca="1" si="173"/>
        <v>-109.91233601622315</v>
      </c>
      <c r="CZ102" s="199">
        <f ca="1">IF(CX102&lt;intermediates!$B$55,intermediates!$B$56+(CX102-intermediates!$B$55)*intermediates!$B$53,intermediates!$B$56+(data!CX102-intermediates!$B$55)*intermediates!$B$58)</f>
        <v>1.8055905573142259</v>
      </c>
      <c r="DG102" s="201">
        <f>IF(A102&gt;MAX(intermediates!B$31,intermediates!$B$32),DG101,DG101+intermediates!$B$60*DG$73)</f>
        <v>17742864826250</v>
      </c>
      <c r="DH102" s="201">
        <f>IF(A102&gt;MAX(intermediates!B$31,intermediates!$B$32),DH101,DH101+intermediates!$B$61*DH$73)</f>
        <v>30404337124375</v>
      </c>
      <c r="DI102" s="201">
        <f>IF(A102&gt;MAX(intermediates!B$31,intermediates!$B$32),DI101,DI101+intermediates!$B$62*DI$73)</f>
        <v>39268029617000</v>
      </c>
      <c r="DJ102" s="221"/>
      <c r="EE102" s="218"/>
      <c r="EF102" s="212">
        <f>$EF$69+intermediates!$B$90*(A102-2013)*intermediates!$B$92+intermediates!$B$91*intermediates!$B$92*(A102-2013)^2</f>
        <v>3007.5220585492189</v>
      </c>
      <c r="EH102" s="212">
        <f>IF(A102&lt;intermediates!$B$29,data!EH101,IF(A102&lt;intermediates!$B$31,data!$EH$69+(intermediates!$B$93-data!$EH$69)*(data!A102-intermediates!$B$29)/(intermediates!$B$31-intermediates!$B$29),intermediates!$B$93))</f>
        <v>5.0166664134491515E-2</v>
      </c>
      <c r="EI102" s="212">
        <f t="shared" si="128"/>
        <v>5.0166664134491515E-2</v>
      </c>
      <c r="EN102" s="218"/>
      <c r="EO102" s="212">
        <f t="shared" si="129"/>
        <v>2856.6447095609055</v>
      </c>
      <c r="EQ102" s="212">
        <f t="shared" si="130"/>
        <v>150.87734898831332</v>
      </c>
      <c r="ET102" s="214">
        <f>IF(A102&lt;intermediates!$B$29,ET101+intermediates!$B$63,ET101+intermediates!$B$63*intermediates!$B$67)</f>
        <v>1114.9460126518425</v>
      </c>
      <c r="EU102" s="215">
        <f t="shared" si="131"/>
        <v>1114.9460126518425</v>
      </c>
      <c r="EV102" s="216">
        <f>data!EU102*conversions!$C$13</f>
        <v>1.2966822127140927</v>
      </c>
      <c r="EX102" s="212">
        <f>intermediates!$B$64+intermediates!$B$64*(EXP(-(data!A102-intermediates!$B$66)/intermediates!$B$65)-1)</f>
        <v>1.1824725724835323E-2</v>
      </c>
      <c r="EY102" s="217">
        <f>IF(A102&lt;intermediates!$B$29,data!EX102,data!EY101+(data!EX102-data!EX101)*intermediates!$B$68)</f>
        <v>1.1824725724835323E-2</v>
      </c>
      <c r="EZ102" s="217">
        <f t="shared" si="132"/>
        <v>1.1824725724835323E-2</v>
      </c>
      <c r="FB102" s="212">
        <f>intermediates!$B$94+intermediates!$B$95+(intermediates!$B$95*(EXP(-(data!A102-intermediates!$B$97)/intermediates!$B$96)-1))</f>
        <v>1.6414126943809468</v>
      </c>
      <c r="FC102" s="217">
        <f>IF(A102&lt;intermediates!$B$29,data!FB102,data!FC101+(data!FB102-data!FB101)*intermediates!$B$68)</f>
        <v>1.6414126943809468</v>
      </c>
      <c r="FD102" s="212">
        <f t="shared" si="133"/>
        <v>1.6414126943809468</v>
      </c>
      <c r="FF102" s="184">
        <f>intermediates!$B$98+intermediates!$B$99*EXP(-(A102-intermediates!$B$101)/intermediates!$B$100)</f>
        <v>0.88635992402943675</v>
      </c>
      <c r="FG102" s="184">
        <f t="shared" si="101"/>
        <v>0.88635992402943675</v>
      </c>
      <c r="FI102" s="184">
        <f>intermediates!$B$102+intermediates!$B$103*EXP(-(A102-intermediates!$B$105)/intermediates!$B$104)</f>
        <v>1.816486673501707E-2</v>
      </c>
      <c r="FJ102" s="184">
        <f t="shared" si="134"/>
        <v>1.816486673501707E-2</v>
      </c>
      <c r="FL102" s="184">
        <f>intermediates!$B$106</f>
        <v>4.5616870531049965E-2</v>
      </c>
      <c r="FM102" s="184">
        <f t="shared" si="135"/>
        <v>4.5616870531049965E-2</v>
      </c>
      <c r="FN102" s="218">
        <f>IF(A102&lt;intermediates!$B$29,0,IF(A102&lt;intermediates!$B$31,(data!A102-intermediates!$B$29)/(intermediates!$B$31-intermediates!$B$29),1))</f>
        <v>0.83333333333333337</v>
      </c>
      <c r="FO102" s="218">
        <f t="shared" si="176"/>
        <v>539107997286587.56</v>
      </c>
      <c r="FP102" s="218">
        <f t="shared" si="177"/>
        <v>608226954616557.5</v>
      </c>
      <c r="FQ102" s="218">
        <f t="shared" si="178"/>
        <v>7192116916792.6543</v>
      </c>
      <c r="FR102" s="218">
        <f t="shared" si="179"/>
        <v>998351444372281.5</v>
      </c>
      <c r="FS102" s="218">
        <f t="shared" si="180"/>
        <v>895425817074.09607</v>
      </c>
      <c r="FT102" s="218">
        <f>intermediates!$B$69*data!EU102/intermediates!$B$71</f>
        <v>2.8379097555265238</v>
      </c>
      <c r="FU102" s="218">
        <f>BC102*conversions!$C$1*1000000</f>
        <v>16697937430636.834</v>
      </c>
      <c r="FV102" s="218">
        <f t="shared" si="184"/>
        <v>5883885982674.1836</v>
      </c>
      <c r="FX102" s="221"/>
      <c r="FY102" s="221"/>
      <c r="FZ102" s="221"/>
      <c r="GA102" s="218">
        <f t="shared" ref="GA102:GA133" si="190">BF102</f>
        <v>1056.7522048626595</v>
      </c>
      <c r="GB102" s="218">
        <f>GA102*1000000*10000*intermediates!$B$71/(intermediates!$B$72*data!EU102)</f>
        <v>4654623895301.5859</v>
      </c>
      <c r="GC102" s="218">
        <f t="shared" si="181"/>
        <v>9154910861741.3223</v>
      </c>
      <c r="GD102" s="218">
        <f t="shared" si="144"/>
        <v>20588846556791.191</v>
      </c>
      <c r="GE102" s="218">
        <f t="shared" si="182"/>
        <v>21991502811179.84</v>
      </c>
      <c r="GF102" s="218">
        <f t="shared" si="183"/>
        <v>399472717867.83502</v>
      </c>
      <c r="GG102" s="218">
        <f t="shared" si="136"/>
        <v>1003183536520.8121</v>
      </c>
      <c r="GH102" s="218">
        <f t="shared" ref="GH102:GH133" si="191">L102*EF102*365/EU102</f>
        <v>9638439204072.7559</v>
      </c>
      <c r="GI102" s="218">
        <f t="shared" si="145"/>
        <v>411897474742.66211</v>
      </c>
      <c r="GJ102" s="218">
        <f>ET102*intermediates!$B$73/intermediates!$B$71</f>
        <v>4.2568646332897861</v>
      </c>
      <c r="GK102" s="218">
        <f>CL102*conversions!$C$1*1000000/data!GJ102</f>
        <v>4894450739295.9053</v>
      </c>
      <c r="GL102" s="218">
        <f>MIN(1,FN102)*(intermediates!$B$75-data!$GL$69)+data!$GL$69</f>
        <v>0.84003922555949329</v>
      </c>
      <c r="GM102" s="218">
        <f>GL102*intermediates!$B$74*(FS102+GC102+GK102+GG102+GF102+GB102+FV102)</f>
        <v>3387788339845.5229</v>
      </c>
      <c r="GN102" s="218">
        <f>MIN(1,FN102)*intermediates!$B$76</f>
        <v>0.1</v>
      </c>
      <c r="GO102" s="218">
        <f t="shared" si="137"/>
        <v>3027374189032.127</v>
      </c>
      <c r="GP102" s="218">
        <f>IF(A102&gt;intermediates!$B$29,MIN(1,(A102-intermediates!$B$29)/(intermediates!$B$31-intermediates!$B$29))*intermediates!$B$77,0)</f>
        <v>0.125</v>
      </c>
      <c r="GQ102" s="218">
        <f>IF(AND(A102&gt;intermediates!$B$29+intermediates!$B$30,data!GP102&lt;intermediates!$B$77),1,0)</f>
        <v>0</v>
      </c>
      <c r="GR102" s="218">
        <f t="shared" ref="GR102:GR133" si="192">GP102*(DG102+DH102)</f>
        <v>6018400243828.125</v>
      </c>
      <c r="GS102" s="218">
        <f t="shared" ref="GS102:GS133" si="193">FQ102+FS102+FV102+GB102+GC102+GF102+GG102+GK102+GM102+GO102+GR102</f>
        <v>46511633239974.172</v>
      </c>
      <c r="GT102" s="218">
        <f t="shared" si="188"/>
        <v>87415231567625</v>
      </c>
      <c r="GU102" s="218">
        <f t="shared" ref="GU102:GU133" si="194">MIN((GT102-GS102),DI102)+GR102</f>
        <v>45286429860828.125</v>
      </c>
      <c r="GV102" s="218">
        <f t="shared" ref="GV102:GV133" si="195">FS102+FV102+GB102+GC102+GF102+GG102+GK102+GM102</f>
        <v>30273741890321.266</v>
      </c>
      <c r="GW102" s="218">
        <f t="shared" ref="GW102:GW133" si="196">MAX((DG102+DH102)-GS102,0)</f>
        <v>1635568710650.8281</v>
      </c>
      <c r="GX102" s="218">
        <f>MIN(intermediates!$B$88,FN102*intermediates!$B$87*GO102)</f>
        <v>1261405912096.7197</v>
      </c>
      <c r="GY102" s="218">
        <f t="shared" ref="GY102:GY133" si="197">GO102-GX102</f>
        <v>1765968276935.4072</v>
      </c>
      <c r="GZ102" s="218">
        <f>MIN(intermediates!$B$88-GX102,intermediates!$B$87*data!GW102*FN102)</f>
        <v>681486962771.17847</v>
      </c>
      <c r="HA102" s="218">
        <f t="shared" si="138"/>
        <v>954081747879.64966</v>
      </c>
      <c r="HB102" s="218">
        <f t="shared" si="139"/>
        <v>1942892874867.8982</v>
      </c>
      <c r="HC102" s="218">
        <f t="shared" ref="HC102:HC133" si="198">FQ102+GY102+HA102</f>
        <v>9912166941607.7129</v>
      </c>
      <c r="HD102" s="218">
        <f>HC102*intermediates!$B$79/(10000*1000000000)</f>
        <v>657.91219492280845</v>
      </c>
      <c r="HE102" s="218">
        <f>(GV102*intermediates!$B$80+GV102*GL102*intermediates!$B$82)/(10000*1000000000)</f>
        <v>1093.6553912157128</v>
      </c>
      <c r="HF102" s="218">
        <f>GU102*intermediates!$B$78/(10000*1000000000)</f>
        <v>4560.3141608490469</v>
      </c>
      <c r="HG102" s="218">
        <f>HB102*intermediates!$B$81/(10000*1000000000)</f>
        <v>488.37237103481192</v>
      </c>
      <c r="HH102" s="218">
        <f t="shared" ref="HH102:HH133" si="199">IF(HF102&gt;HF101,HF102-HF101,0)</f>
        <v>21.676023169429754</v>
      </c>
      <c r="HI102" s="218">
        <f t="shared" ref="HI102:HI133" si="200">IF(HG102&gt;HG101,HG102-HG101,0)</f>
        <v>11.68107416467393</v>
      </c>
      <c r="HJ102" s="218">
        <f t="shared" ref="HJ102:HJ133" si="201">IF(HF102&gt;HF101,0,HF102-HF101)+IF(HG102&gt;HG101,0,HG102-HG101)+(HD102-HD101)+(HE102-HE101)</f>
        <v>-31.643721636295027</v>
      </c>
      <c r="HK102" s="218">
        <f ca="1">SUM(HJ102:INDIRECT(ADDRESS(MAX(CELL("row",HJ102)-intermediates!$B$83,69),CELL("col",HJ102))))/intermediates!$B$83+SUM(HH102:INDIRECT(ADDRESS(MAX(CELL("row",HH102)-intermediates!$B$84,69),CELL("col",HH102))))/intermediates!$B$84+SUM(HI102:INDIRECT(ADDRESS(MAX(CELL("row",HI102)-intermediates!$B$85,69),CELL("col",HI102))))/intermediates!$B$85</f>
        <v>-24.177325128493422</v>
      </c>
      <c r="HL102" s="218">
        <f t="shared" ca="1" si="163"/>
        <v>-316.08045433134509</v>
      </c>
      <c r="HM102" s="188">
        <f t="shared" ref="HM102:HM133" si="202">A102</f>
        <v>2046</v>
      </c>
      <c r="HQ102" s="185">
        <f t="shared" ref="HQ102:HQ133" si="203">(GH102+GF102+GG102)/$L102</f>
        <v>1127.8550785662173</v>
      </c>
      <c r="HR102" s="185">
        <f t="shared" ref="HR102:HR133" si="204">FV102/L102</f>
        <v>601.04277806764105</v>
      </c>
      <c r="HS102" s="185">
        <f t="shared" ref="HS102:HS133" si="205">GB102/$L102</f>
        <v>475.47285673618512</v>
      </c>
      <c r="HT102" s="185">
        <f t="shared" ref="HT102:HT133" si="206">GK102/L102</f>
        <v>499.97132475442959</v>
      </c>
      <c r="HU102" s="185">
        <f t="shared" ref="HU102:HU133" si="207">GM102/L102</f>
        <v>346.06478121462067</v>
      </c>
      <c r="HV102" s="185">
        <f t="shared" ref="HV102:HV133" si="208">GO102/L102</f>
        <v>309.24824141462284</v>
      </c>
      <c r="HW102" s="185">
        <f t="shared" ref="HW102:HW133" si="209">GR102/L102</f>
        <v>614.78349728819524</v>
      </c>
      <c r="HX102" s="185">
        <f t="shared" ref="HX102:HX133" si="210">GI102/$L102</f>
        <v>42.075594807134209</v>
      </c>
      <c r="HY102" s="185">
        <f t="shared" ref="HY102:HY133" si="211">FQ102/L102</f>
        <v>734.6794184294622</v>
      </c>
      <c r="HZ102" s="185">
        <f t="shared" si="140"/>
        <v>3974.4385580419121</v>
      </c>
      <c r="IA102" s="185">
        <f t="shared" si="141"/>
        <v>4751.1935712785089</v>
      </c>
      <c r="IB102" s="185">
        <f t="shared" ref="IB102:IB133" si="212">DG102/$L$72</f>
        <v>2377.1185271345425</v>
      </c>
      <c r="IC102" s="185">
        <f t="shared" si="175"/>
        <v>4918.2679783055619</v>
      </c>
      <c r="ID102" s="185">
        <f t="shared" ref="ID102:ID133" si="213">DI102/L102</f>
        <v>4011.2547523426438</v>
      </c>
      <c r="IE102" s="184">
        <f t="shared" si="142"/>
        <v>-0.23529530746269275</v>
      </c>
      <c r="IF102" s="184">
        <f t="shared" si="143"/>
        <v>-4.1651407687202754E-2</v>
      </c>
    </row>
    <row r="103" spans="1:240" x14ac:dyDescent="0.3">
      <c r="A103" s="211">
        <v>2047</v>
      </c>
      <c r="E103" s="207">
        <v>8870980.6099999994</v>
      </c>
      <c r="F103" s="207">
        <v>9586707.7489999998</v>
      </c>
      <c r="G103" s="207">
        <v>10314720.045</v>
      </c>
      <c r="I103" s="207">
        <f t="shared" si="164"/>
        <v>8870980610</v>
      </c>
      <c r="J103" s="207">
        <f t="shared" si="164"/>
        <v>9586707749</v>
      </c>
      <c r="K103" s="207">
        <f t="shared" si="164"/>
        <v>10314720045</v>
      </c>
      <c r="L103" s="187">
        <f>IF(intermediates!$B$4&gt;=2,(intermediates!$B$4-2)*K103+(1-(intermediates!$B$4-2))*J103,(intermediates!$B$4-1)*J103+(1-(intermediates!$B$4-1))*I103)</f>
        <v>9855533174.319128</v>
      </c>
      <c r="AJ103" s="184">
        <f>IF(intermediates!$B$46=0,$AJ$74+(intermediates!$B$15-$AJ$74)*MIN(1,(data!A103-data!$A$74)/(intermediates!$B$32-data!$A$74)),IF(A103&lt;2021,$AJ$74+(intermediates!$B$15-$AJ$74)*MIN(1,(data!A103-data!$A$74)/(intermediates!$B$32-data!$A$74)),intermediates!$B$47+(intermediates!$B$15-intermediates!$B$47)*MIN(1,(data!A103-$A$77)/(intermediates!$B$32-$A$77))))</f>
        <v>24656.407484684005</v>
      </c>
      <c r="AK103" s="192">
        <f t="shared" si="146"/>
        <v>24656.407484684005</v>
      </c>
      <c r="AL103" s="192">
        <f t="shared" si="185"/>
        <v>243002041924833.66</v>
      </c>
      <c r="AM103" s="192">
        <f>data!AL103/(1000000*conversions!$C$1)</f>
        <v>20828.74645070003</v>
      </c>
      <c r="AN103" s="192">
        <f>IF(intermediates!$B$13=1,($AJ$74+(27400-$AJ$74)*MIN(1,(data!A103-data!$A$74)/(intermediates!$B$32-data!$A$74)))*L103/(1000000*conversions!$C$1),data!AM103)</f>
        <v>20828.74645070003</v>
      </c>
      <c r="AV103" s="214">
        <f>IF(A103&lt;intermediates!$B$29,0,IF(A103&lt;intermediates!$B$31,(data!A103-intermediates!$B$29)*intermediates!$B$26/(intermediates!$B$31-intermediates!$B$29),intermediates!$B$26))</f>
        <v>8.6666666666666661</v>
      </c>
      <c r="AW103" s="212">
        <f>MIN(AW102+intermediates!$B$16,intermediates!$B$17*data!$AW$74)</f>
        <v>1633.2024676629856</v>
      </c>
      <c r="AX103" s="212">
        <f>AV103*1000/conversions!$C$16/intermediates!$B$40</f>
        <v>7095.4506972321105</v>
      </c>
      <c r="AY103" s="212">
        <f>AX103*(1-intermediates!$B$39)*intermediates!$B$28/(conversions!$C$2)</f>
        <v>1857.2926989897683</v>
      </c>
      <c r="AZ103" s="213">
        <f>IF(A103&lt;intermediates!$B$29,0,MIN(intermediates!$B$25,intermediates!$B$25*(A103-intermediates!$B$29)/(intermediates!$B$31-intermediates!$B$29)))</f>
        <v>0</v>
      </c>
      <c r="BA103" s="212">
        <f>IF(A103&lt;intermediates!$B$29,data!$BA$74,IF(intermediates!$B$23&gt;data!$BA$74,MIN(intermediates!$B$23,data!$BA$74+(intermediates!$B$23-data!$BA$74)*((data!A103-intermediates!$B$29)/(intermediates!$B$31-intermediates!$B$29))),MAX(intermediates!$B$23,data!$BA$74+(intermediates!$B$23-data!$BA$74)*((data!A103-intermediates!$B$29)/(intermediates!$B$31-intermediates!$B$29)))))</f>
        <v>7.1612234982094958E-2</v>
      </c>
      <c r="BB103" s="212">
        <f t="shared" si="147"/>
        <v>1491.5930852100068</v>
      </c>
      <c r="BC103" s="212">
        <f t="shared" si="166"/>
        <v>1491.5930852100068</v>
      </c>
      <c r="BD103" s="212">
        <f t="shared" si="167"/>
        <v>0</v>
      </c>
      <c r="BE103" s="214">
        <f>MAX(0,MIN(1,(data!A103-intermediates!$B$29)/(intermediates!$B$31-intermediates!$B$29)))*((intermediates!$B$38*L103)-$BE$69*1000000000)/1000000000+$BE$69</f>
        <v>1097.2959486832287</v>
      </c>
      <c r="BF103" s="214">
        <f t="shared" si="99"/>
        <v>1097.2959486832287</v>
      </c>
      <c r="BG103" s="214">
        <f t="shared" si="168"/>
        <v>0</v>
      </c>
      <c r="BH103" s="214">
        <f>BD103*conversions!$C$2/conversions!$C$17+BG103*conversions!$C$6/conversions!$C$10</f>
        <v>0</v>
      </c>
      <c r="BI103" s="214">
        <f>BH103*intermediates!$B$41*conversions!$C$11/(conversions!$C$2*conversions!$C$6*intermediates!$B$42)</f>
        <v>0</v>
      </c>
      <c r="BJ103" s="214">
        <f>BH103*intermediates!$B$43/(conversions!$C$1*intermediates!$B$42)</f>
        <v>0</v>
      </c>
      <c r="BK103" s="214">
        <f t="shared" si="148"/>
        <v>0</v>
      </c>
      <c r="BL103" s="214">
        <f t="shared" si="149"/>
        <v>20828.74645070003</v>
      </c>
      <c r="BM103" s="214">
        <f t="shared" si="150"/>
        <v>15846.658198837269</v>
      </c>
      <c r="BN103" s="214">
        <f>IF(A103&lt;intermediates!$B$29,MIN(BO102+intermediates!$B$33*AN102),MIN(BO102*intermediates!$B$35,BO102+intermediates!$B$37*AN102))</f>
        <v>12812.726216640951</v>
      </c>
      <c r="BO103" s="212">
        <f>IF(A103&lt;intermediates!$B$29,MIN(BM103,BO102+intermediates!$B$33*AN102),MIN(BM103,BO102*intermediates!$B$35,BO102+intermediates!$B$37*AN102))</f>
        <v>12812.726216640951</v>
      </c>
      <c r="BP103" s="214">
        <f t="shared" si="151"/>
        <v>0</v>
      </c>
      <c r="BQ103" s="214">
        <f t="shared" si="152"/>
        <v>3033.9319821963181</v>
      </c>
      <c r="BR103" s="212" t="str">
        <f t="shared" si="186"/>
        <v/>
      </c>
      <c r="BS103" s="212">
        <f>BP103*conversions!$C$1*intermediates!$B$42/intermediates!$B$43</f>
        <v>0</v>
      </c>
      <c r="BT103" s="214">
        <f>MIN(BT102+BS103,intermediates!$B$27*1000)</f>
        <v>0</v>
      </c>
      <c r="BU103" s="219" t="str">
        <f>IF(AND(BT103=intermediates!$B$27*1000,BT102&lt;&gt;intermediates!$B$27*1000),A103,"")</f>
        <v/>
      </c>
      <c r="BV103" s="212">
        <f>BT103*intermediates!$B$43/(conversions!$C$1*intermediates!$B$42)</f>
        <v>0</v>
      </c>
      <c r="BW103" s="214">
        <f t="shared" si="153"/>
        <v>20828.74645070003</v>
      </c>
      <c r="BX103" s="214">
        <f t="shared" si="154"/>
        <v>12812.726216640951</v>
      </c>
      <c r="BY103" s="227">
        <f>IF(OR(BQ103&gt;0,BT103&lt;&gt;intermediates!$B$27*1000),MAX(0,(BX103-BX102)/AM102),0.000000000001)</f>
        <v>2.9986327406272401E-2</v>
      </c>
      <c r="BZ103" s="322">
        <f>BH103*intermediates!$B$49*1000000</f>
        <v>0</v>
      </c>
      <c r="CA103" s="322">
        <f>BI103*conversions!$C$1*1000000*intermediates!$B$50</f>
        <v>0</v>
      </c>
      <c r="CB103" s="322">
        <f>BT103*1000000*intermediates!$B$49</f>
        <v>0</v>
      </c>
      <c r="CC103" s="214">
        <f>BW103*conversions!$C$1*1000000/L103</f>
        <v>24656.407484684005</v>
      </c>
      <c r="CD103" s="173">
        <f t="shared" si="189"/>
        <v>2047</v>
      </c>
      <c r="CE103" s="173"/>
      <c r="CF103" s="173"/>
      <c r="CG103" s="173"/>
      <c r="CH103" s="173"/>
      <c r="CI103" s="173">
        <f t="shared" si="155"/>
        <v>3033.9319821963181</v>
      </c>
      <c r="CJ103" s="173">
        <f t="shared" si="156"/>
        <v>1633.2024676629856</v>
      </c>
      <c r="CK103" s="173">
        <f t="shared" si="157"/>
        <v>1491.5930852100068</v>
      </c>
      <c r="CL103" s="173">
        <f t="shared" si="158"/>
        <v>1857.2926989897683</v>
      </c>
      <c r="CM103" s="173"/>
      <c r="CN103" s="173"/>
      <c r="CO103" s="329">
        <f t="shared" si="169"/>
        <v>12812.726216640951</v>
      </c>
      <c r="CP103" s="174">
        <f t="shared" si="159"/>
        <v>10.432031576669855</v>
      </c>
      <c r="CQ103" s="228">
        <f t="shared" si="160"/>
        <v>8.6666666666666661</v>
      </c>
      <c r="CR103" s="228">
        <f t="shared" si="170"/>
        <v>117</v>
      </c>
      <c r="CS103" s="214">
        <f t="shared" ca="1" si="161"/>
        <v>26.70633861751049</v>
      </c>
      <c r="CT103" s="190">
        <f t="shared" ca="1" si="162"/>
        <v>2.7097812107314532</v>
      </c>
      <c r="CU103" s="190">
        <f t="shared" ca="1" si="187"/>
        <v>26.70633861751049</v>
      </c>
      <c r="CV103" s="198">
        <f t="shared" si="174"/>
        <v>3179.8453043438503</v>
      </c>
      <c r="CW103" s="198">
        <f t="shared" ca="1" si="171"/>
        <v>3522.4457350655935</v>
      </c>
      <c r="CX103" s="198">
        <f t="shared" ca="1" si="172"/>
        <v>3403.866732382704</v>
      </c>
      <c r="CY103" s="198">
        <f t="shared" ca="1" si="173"/>
        <v>-118.57900268288982</v>
      </c>
      <c r="CZ103" s="199">
        <f ca="1">IF(CX103&lt;intermediates!$B$55,intermediates!$B$56+(CX103-intermediates!$B$55)*intermediates!$B$53,intermediates!$B$56+(data!CX103-intermediates!$B$55)*intermediates!$B$58)</f>
        <v>1.8201134561812757</v>
      </c>
      <c r="DG103" s="201">
        <f>IF(A103&gt;MAX(intermediates!B$31,intermediates!$B$32),DG102,DG102+intermediates!$B$60*DG$73)</f>
        <v>17816295767500</v>
      </c>
      <c r="DH103" s="201">
        <f>IF(A103&gt;MAX(intermediates!B$31,intermediates!$B$32),DH102,DH102+intermediates!$B$61*DH$73)</f>
        <v>30326409841250</v>
      </c>
      <c r="DI103" s="201">
        <f>IF(A103&gt;MAX(intermediates!B$31,intermediates!$B$32),DI102,DI102+intermediates!$B$62*DI$73)</f>
        <v>39243088010000</v>
      </c>
      <c r="DJ103" s="221"/>
      <c r="EE103" s="218"/>
      <c r="EF103" s="212">
        <f>$EF$69+intermediates!$B$90*(A103-2013)*intermediates!$B$92+intermediates!$B$91*intermediates!$B$92*(A103-2013)^2</f>
        <v>3012.7663485492189</v>
      </c>
      <c r="EH103" s="212">
        <f>IF(A103&lt;intermediates!$B$29,data!EH102,IF(A103&lt;intermediates!$B$31,data!$EH$69+(intermediates!$B$93-data!$EH$69)*(data!A103-intermediates!$B$29)/(intermediates!$B$31-intermediates!$B$29),intermediates!$B$93))</f>
        <v>4.5177755997774155E-2</v>
      </c>
      <c r="EI103" s="212">
        <f t="shared" si="128"/>
        <v>4.5177755997774155E-2</v>
      </c>
      <c r="EN103" s="218"/>
      <c r="EO103" s="212">
        <f t="shared" si="129"/>
        <v>2876.6563255761571</v>
      </c>
      <c r="EQ103" s="212">
        <f t="shared" si="130"/>
        <v>136.11002297306186</v>
      </c>
      <c r="ET103" s="214">
        <f>IF(A103&lt;intermediates!$B$29,ET102+intermediates!$B$63,ET102+intermediates!$B$63*intermediates!$B$67)</f>
        <v>1124.9216020432852</v>
      </c>
      <c r="EU103" s="215">
        <f t="shared" si="131"/>
        <v>1124.9216020432852</v>
      </c>
      <c r="EV103" s="216">
        <f>data!EU103*conversions!$C$13</f>
        <v>1.3082838231763407</v>
      </c>
      <c r="EX103" s="212">
        <f>intermediates!$B$64+intermediates!$B$64*(EXP(-(data!A103-intermediates!$B$66)/intermediates!$B$65)-1)</f>
        <v>1.1604898320893868E-2</v>
      </c>
      <c r="EY103" s="217">
        <f>IF(A103&lt;intermediates!$B$29,data!EX103,data!EY102+(data!EX103-data!EX102)*intermediates!$B$68)</f>
        <v>1.1604898320893868E-2</v>
      </c>
      <c r="EZ103" s="217">
        <f t="shared" si="132"/>
        <v>1.1604898320893868E-2</v>
      </c>
      <c r="FB103" s="212">
        <f>intermediates!$B$94+intermediates!$B$95+(intermediates!$B$95*(EXP(-(data!A103-intermediates!$B$97)/intermediates!$B$96)-1))</f>
        <v>1.6375563053672637</v>
      </c>
      <c r="FC103" s="217">
        <f>IF(A103&lt;intermediates!$B$29,data!FB103,data!FC102+(data!FB103-data!FB102)*intermediates!$B$68)</f>
        <v>1.6375563053672637</v>
      </c>
      <c r="FD103" s="212">
        <f t="shared" si="133"/>
        <v>1.6375563053672637</v>
      </c>
      <c r="FF103" s="184">
        <f>intermediates!$B$98+intermediates!$B$99*EXP(-(A103-intermediates!$B$101)/intermediates!$B$100)</f>
        <v>0.88687718663169335</v>
      </c>
      <c r="FG103" s="184">
        <f t="shared" si="101"/>
        <v>0.88687718663169335</v>
      </c>
      <c r="FI103" s="184">
        <f>intermediates!$B$102+intermediates!$B$103*EXP(-(A103-intermediates!$B$105)/intermediates!$B$104)</f>
        <v>1.8018999522970629E-2</v>
      </c>
      <c r="FJ103" s="184">
        <f t="shared" si="134"/>
        <v>1.8018999522970629E-2</v>
      </c>
      <c r="FL103" s="184">
        <f>intermediates!$B$106</f>
        <v>4.5616870531049965E-2</v>
      </c>
      <c r="FM103" s="184">
        <f t="shared" si="135"/>
        <v>4.5616870531049965E-2</v>
      </c>
      <c r="FN103" s="218">
        <f>IF(A103&lt;intermediates!$B$29,0,IF(A103&lt;intermediates!$B$31,(data!A103-intermediates!$B$29)/(intermediates!$B$31-intermediates!$B$29),1))</f>
        <v>0.8666666666666667</v>
      </c>
      <c r="FO103" s="218">
        <f t="shared" si="176"/>
        <v>489624449070447.69</v>
      </c>
      <c r="FP103" s="218">
        <f t="shared" si="177"/>
        <v>552076946448484.19</v>
      </c>
      <c r="FQ103" s="218">
        <f t="shared" si="178"/>
        <v>6406796828844.2275</v>
      </c>
      <c r="FR103" s="218">
        <f t="shared" si="179"/>
        <v>904057084704620.5</v>
      </c>
      <c r="FS103" s="218">
        <f t="shared" si="180"/>
        <v>803662302388.45911</v>
      </c>
      <c r="FT103" s="218">
        <f>intermediates!$B$69*data!EU103/intermediates!$B$71</f>
        <v>2.8633009602394486</v>
      </c>
      <c r="FU103" s="218">
        <f>BC103*conversions!$C$1*1000000</f>
        <v>17401919327450.078</v>
      </c>
      <c r="FV103" s="218">
        <f t="shared" si="184"/>
        <v>6077572553181.7002</v>
      </c>
      <c r="FX103" s="221"/>
      <c r="FY103" s="221"/>
      <c r="FZ103" s="221"/>
      <c r="GA103" s="218">
        <f t="shared" si="190"/>
        <v>1097.2959486832287</v>
      </c>
      <c r="GB103" s="218">
        <f>GA103*1000000*10000*intermediates!$B$71/(intermediates!$B$72*data!EU103)</f>
        <v>4790344972116.8389</v>
      </c>
      <c r="GC103" s="218">
        <f t="shared" si="181"/>
        <v>9198959603640.0566</v>
      </c>
      <c r="GD103" s="218">
        <f t="shared" si="144"/>
        <v>20870539431327.055</v>
      </c>
      <c r="GE103" s="218">
        <f t="shared" si="182"/>
        <v>22288913857188.352</v>
      </c>
      <c r="GF103" s="218">
        <f t="shared" si="183"/>
        <v>401623928160.21039</v>
      </c>
      <c r="GG103" s="218">
        <f t="shared" si="136"/>
        <v>1016750497701.0865</v>
      </c>
      <c r="GH103" s="218">
        <f t="shared" si="191"/>
        <v>9634211667589.3164</v>
      </c>
      <c r="GI103" s="218">
        <f t="shared" si="145"/>
        <v>368410238439.19922</v>
      </c>
      <c r="GJ103" s="218">
        <f>ET103*intermediates!$B$73/intermediates!$B$71</f>
        <v>4.2949514403591733</v>
      </c>
      <c r="GK103" s="218">
        <f>CL103*conversions!$C$1*1000000/data!GJ103</f>
        <v>5045089594711.5146</v>
      </c>
      <c r="GL103" s="218">
        <f>MIN(1,FN103)*(intermediates!$B$75-data!$GL$69)+data!$GL$69</f>
        <v>0.87203138044759465</v>
      </c>
      <c r="GM103" s="218">
        <f>GL103*intermediates!$B$74*(FS103+GC103+GK103+GG103+GF103+GB103+FV103)</f>
        <v>3575416314497.9341</v>
      </c>
      <c r="GN103" s="218">
        <f>MIN(1,FN103)*intermediates!$B$76</f>
        <v>0.104</v>
      </c>
      <c r="GO103" s="218">
        <f t="shared" si="137"/>
        <v>3214579655705.3716</v>
      </c>
      <c r="GP103" s="218">
        <f>IF(A103&gt;intermediates!$B$29,MIN(1,(A103-intermediates!$B$29)/(intermediates!$B$31-intermediates!$B$29))*intermediates!$B$77,0)</f>
        <v>0.13</v>
      </c>
      <c r="GQ103" s="218">
        <f>IF(AND(A103&gt;intermediates!$B$29+intermediates!$B$30,data!GP103&lt;intermediates!$B$77),1,0)</f>
        <v>0</v>
      </c>
      <c r="GR103" s="218">
        <f t="shared" si="192"/>
        <v>6258551729137.5</v>
      </c>
      <c r="GS103" s="218">
        <f t="shared" si="193"/>
        <v>46789347980084.906</v>
      </c>
      <c r="GT103" s="218">
        <f t="shared" si="188"/>
        <v>87385793618750</v>
      </c>
      <c r="GU103" s="218">
        <f t="shared" si="194"/>
        <v>45501639739137.5</v>
      </c>
      <c r="GV103" s="218">
        <f t="shared" si="195"/>
        <v>30909419766397.801</v>
      </c>
      <c r="GW103" s="218">
        <f t="shared" si="196"/>
        <v>1353357628665.0938</v>
      </c>
      <c r="GX103" s="218">
        <f>MIN(intermediates!$B$88,FN103*intermediates!$B$87*GO103)</f>
        <v>1392984517472.3276</v>
      </c>
      <c r="GY103" s="218">
        <f t="shared" si="197"/>
        <v>1821595138233.0439</v>
      </c>
      <c r="GZ103" s="218">
        <f>MIN(intermediates!$B$88-GX103,intermediates!$B$87*data!GW103*FN103)</f>
        <v>586454972421.54065</v>
      </c>
      <c r="HA103" s="218">
        <f t="shared" si="138"/>
        <v>766902656243.5531</v>
      </c>
      <c r="HB103" s="218">
        <f t="shared" si="139"/>
        <v>1979439489893.8682</v>
      </c>
      <c r="HC103" s="218">
        <f t="shared" si="198"/>
        <v>8995294623320.8242</v>
      </c>
      <c r="HD103" s="218">
        <f>HC103*intermediates!$B$79/(10000*1000000000)</f>
        <v>597.05552423297331</v>
      </c>
      <c r="HE103" s="218">
        <f>(GV103*intermediates!$B$80+GV103*GL103*intermediates!$B$82)/(10000*1000000000)</f>
        <v>1123.7757523020384</v>
      </c>
      <c r="HF103" s="218">
        <f>GU103*intermediates!$B$78/(10000*1000000000)</f>
        <v>4581.9856562313262</v>
      </c>
      <c r="HG103" s="218">
        <f>HB103*intermediates!$B$81/(10000*1000000000)</f>
        <v>497.55885643727811</v>
      </c>
      <c r="HH103" s="218">
        <f t="shared" si="199"/>
        <v>21.671495382279318</v>
      </c>
      <c r="HI103" s="218">
        <f t="shared" si="200"/>
        <v>9.1864854024661895</v>
      </c>
      <c r="HJ103" s="218">
        <f t="shared" si="201"/>
        <v>-30.73630960350954</v>
      </c>
      <c r="HK103" s="218">
        <f ca="1">SUM(HJ103:INDIRECT(ADDRESS(MAX(CELL("row",HJ103)-intermediates!$B$83,69),CELL("col",HJ103))))/intermediates!$B$83+SUM(HH103:INDIRECT(ADDRESS(MAX(CELL("row",HH103)-intermediates!$B$84,69),CELL("col",HH103))))/intermediates!$B$84+SUM(HI103:INDIRECT(ADDRESS(MAX(CELL("row",HI103)-intermediates!$B$85,69),CELL("col",HI103))))/intermediates!$B$85</f>
        <v>-24.9409737075073</v>
      </c>
      <c r="HL103" s="218">
        <f t="shared" ca="1" si="163"/>
        <v>-341.02142803885238</v>
      </c>
      <c r="HM103" s="188">
        <f t="shared" si="202"/>
        <v>2047</v>
      </c>
      <c r="HQ103" s="185">
        <f t="shared" si="203"/>
        <v>1121.4599857723258</v>
      </c>
      <c r="HR103" s="185">
        <f t="shared" si="204"/>
        <v>616.66603375839895</v>
      </c>
      <c r="HS103" s="185">
        <f t="shared" si="205"/>
        <v>486.05639972875247</v>
      </c>
      <c r="HT103" s="185">
        <f t="shared" si="206"/>
        <v>511.90427808184575</v>
      </c>
      <c r="HU103" s="185">
        <f t="shared" si="207"/>
        <v>362.78263704844591</v>
      </c>
      <c r="HV103" s="185">
        <f t="shared" si="208"/>
        <v>326.17004061045651</v>
      </c>
      <c r="HW103" s="185">
        <f t="shared" si="209"/>
        <v>635.02923874738758</v>
      </c>
      <c r="HX103" s="185">
        <f t="shared" si="210"/>
        <v>37.38105609538988</v>
      </c>
      <c r="HY103" s="185">
        <f t="shared" si="211"/>
        <v>650.0710530343116</v>
      </c>
      <c r="HZ103" s="185">
        <f t="shared" si="140"/>
        <v>4060.0686137476132</v>
      </c>
      <c r="IA103" s="185">
        <f t="shared" si="141"/>
        <v>4747.5207228773143</v>
      </c>
      <c r="IB103" s="185">
        <f t="shared" si="212"/>
        <v>2386.9565128611798</v>
      </c>
      <c r="IC103" s="185">
        <f t="shared" si="175"/>
        <v>4884.8402980568271</v>
      </c>
      <c r="ID103" s="185">
        <f t="shared" si="213"/>
        <v>3981.8330795392121</v>
      </c>
      <c r="IE103" s="184">
        <f t="shared" si="142"/>
        <v>-0.20713366628735191</v>
      </c>
      <c r="IF103" s="184">
        <f t="shared" si="143"/>
        <v>-3.4486522271647772E-2</v>
      </c>
    </row>
    <row r="104" spans="1:240" x14ac:dyDescent="0.3">
      <c r="A104" s="211">
        <v>2048</v>
      </c>
      <c r="E104" s="207">
        <v>8885115.182</v>
      </c>
      <c r="F104" s="207">
        <v>9637357.3200000003</v>
      </c>
      <c r="G104" s="207">
        <v>10405336.75</v>
      </c>
      <c r="I104" s="207">
        <f t="shared" si="164"/>
        <v>8885115182</v>
      </c>
      <c r="J104" s="207">
        <f t="shared" si="164"/>
        <v>9637357320</v>
      </c>
      <c r="K104" s="207">
        <f t="shared" si="164"/>
        <v>10405336750</v>
      </c>
      <c r="L104" s="187">
        <f>IF(intermediates!$B$4&gt;=2,(intermediates!$B$4-2)*K104+(1-(intermediates!$B$4-2))*J104,(intermediates!$B$4-1)*J104+(1-(intermediates!$B$4-1))*I104)</f>
        <v>9920940987.5292797</v>
      </c>
      <c r="AJ104" s="184">
        <f>IF(intermediates!$B$46=0,$AJ$74+(intermediates!$B$15-$AJ$74)*MIN(1,(data!A104-data!$A$74)/(intermediates!$B$32-data!$A$74)),IF(A104&lt;2021,$AJ$74+(intermediates!$B$15-$AJ$74)*MIN(1,(data!A104-data!$A$74)/(intermediates!$B$32-data!$A$74)),intermediates!$B$47+(intermediates!$B$15-intermediates!$B$47)*MIN(1,(data!A104-$A$77)/(intermediates!$B$32-$A$77))))</f>
        <v>24775.6941157847</v>
      </c>
      <c r="AK104" s="192">
        <f t="shared" si="146"/>
        <v>24775.6941157847</v>
      </c>
      <c r="AL104" s="192">
        <f t="shared" si="185"/>
        <v>245798199247776.41</v>
      </c>
      <c r="AM104" s="192">
        <f>data!AL104/(1000000*conversions!$C$1)</f>
        <v>21068.417078380837</v>
      </c>
      <c r="AN104" s="192">
        <f>IF(intermediates!$B$13=1,($AJ$74+(27400-$AJ$74)*MIN(1,(data!A104-data!$A$74)/(intermediates!$B$32-data!$A$74)))*L104/(1000000*conversions!$C$1),data!AM104)</f>
        <v>21068.417078380837</v>
      </c>
      <c r="AV104" s="214">
        <f>IF(A104&lt;intermediates!$B$29,0,IF(A104&lt;intermediates!$B$31,(data!A104-intermediates!$B$29)*intermediates!$B$26/(intermediates!$B$31-intermediates!$B$29),intermediates!$B$26))</f>
        <v>9</v>
      </c>
      <c r="AW104" s="212">
        <f>MIN(AW103+intermediates!$B$16,intermediates!$B$17*data!$AW$74)</f>
        <v>1656.8027288501949</v>
      </c>
      <c r="AX104" s="212">
        <f>AV104*1000/conversions!$C$16/intermediates!$B$40</f>
        <v>7368.3526471256528</v>
      </c>
      <c r="AY104" s="212">
        <f>AX104*(1-intermediates!$B$39)*intermediates!$B$28/(conversions!$C$2)</f>
        <v>1928.7270335662972</v>
      </c>
      <c r="AZ104" s="213">
        <f>IF(A104&lt;intermediates!$B$29,0,MIN(intermediates!$B$25,intermediates!$B$25*(A104-intermediates!$B$29)/(intermediates!$B$31-intermediates!$B$29)))</f>
        <v>0</v>
      </c>
      <c r="BA104" s="212">
        <f>IF(A104&lt;intermediates!$B$29,data!$BA$74,IF(intermediates!$B$23&gt;data!$BA$74,MIN(intermediates!$B$23,data!$BA$74+(intermediates!$B$23-data!$BA$74)*((data!A104-intermediates!$B$29)/(intermediates!$B$31-intermediates!$B$29))),MAX(intermediates!$B$23,data!$BA$74+(intermediates!$B$23-data!$BA$74)*((data!A104-intermediates!$B$29)/(intermediates!$B$31-intermediates!$B$29)))))</f>
        <v>7.3709176236571222E-2</v>
      </c>
      <c r="BB104" s="212">
        <f t="shared" si="147"/>
        <v>1552.9356674559601</v>
      </c>
      <c r="BC104" s="212">
        <f t="shared" si="166"/>
        <v>1552.9356674559601</v>
      </c>
      <c r="BD104" s="212">
        <f t="shared" si="167"/>
        <v>0</v>
      </c>
      <c r="BE104" s="214">
        <f>MAX(0,MIN(1,(data!A104-intermediates!$B$29)/(intermediates!$B$31-intermediates!$B$29)))*((intermediates!$B$38*L104)-$BE$69*1000000000)/1000000000+$BE$69</f>
        <v>1138.3157521960363</v>
      </c>
      <c r="BF104" s="214">
        <f t="shared" si="99"/>
        <v>1138.3157521960363</v>
      </c>
      <c r="BG104" s="214">
        <f t="shared" si="168"/>
        <v>0</v>
      </c>
      <c r="BH104" s="214">
        <f>BD104*conversions!$C$2/conversions!$C$17+BG104*conversions!$C$6/conversions!$C$10</f>
        <v>0</v>
      </c>
      <c r="BI104" s="214">
        <f>BH104*intermediates!$B$41*conversions!$C$11/(conversions!$C$2*conversions!$C$6*intermediates!$B$42)</f>
        <v>0</v>
      </c>
      <c r="BJ104" s="214">
        <f>BH104*intermediates!$B$43/(conversions!$C$1*intermediates!$B$42)</f>
        <v>0</v>
      </c>
      <c r="BK104" s="214">
        <f t="shared" si="148"/>
        <v>0</v>
      </c>
      <c r="BL104" s="214">
        <f t="shared" si="149"/>
        <v>21068.417078380837</v>
      </c>
      <c r="BM104" s="214">
        <f t="shared" si="150"/>
        <v>15929.951648508384</v>
      </c>
      <c r="BN104" s="214">
        <f>IF(A104&lt;intermediates!$B$29,MIN(BO103+intermediates!$B$33*AN103),MIN(BO103*intermediates!$B$35,BO103+intermediates!$B$37*AN103))</f>
        <v>13437.303827173877</v>
      </c>
      <c r="BO104" s="212">
        <f>IF(A104&lt;intermediates!$B$29,MIN(BM104,BO103+intermediates!$B$33*AN103),MIN(BM104,BO103*intermediates!$B$35,BO103+intermediates!$B$37*AN103))</f>
        <v>13437.303827173877</v>
      </c>
      <c r="BP104" s="214">
        <f t="shared" si="151"/>
        <v>0</v>
      </c>
      <c r="BQ104" s="214">
        <f t="shared" si="152"/>
        <v>2492.6478213345072</v>
      </c>
      <c r="BR104" s="212" t="str">
        <f t="shared" si="186"/>
        <v/>
      </c>
      <c r="BS104" s="212">
        <f>BP104*conversions!$C$1*intermediates!$B$42/intermediates!$B$43</f>
        <v>0</v>
      </c>
      <c r="BT104" s="214">
        <f>MIN(BT103+BS104,intermediates!$B$27*1000)</f>
        <v>0</v>
      </c>
      <c r="BU104" s="219" t="str">
        <f>IF(AND(BT104=intermediates!$B$27*1000,BT103&lt;&gt;intermediates!$B$27*1000),A104,"")</f>
        <v/>
      </c>
      <c r="BV104" s="212">
        <f>BT104*intermediates!$B$43/(conversions!$C$1*intermediates!$B$42)</f>
        <v>0</v>
      </c>
      <c r="BW104" s="214">
        <f t="shared" si="153"/>
        <v>21068.417078380837</v>
      </c>
      <c r="BX104" s="214">
        <f t="shared" si="154"/>
        <v>13437.303827173877</v>
      </c>
      <c r="BY104" s="227">
        <f>IF(OR(BQ104&gt;0,BT104&lt;&gt;intermediates!$B$27*1000),MAX(0,(BX104-BX103)/AM103),0.000000000001)</f>
        <v>2.9986327406272432E-2</v>
      </c>
      <c r="BZ104" s="322">
        <f>BH104*intermediates!$B$49*1000000</f>
        <v>0</v>
      </c>
      <c r="CA104" s="322">
        <f>BI104*conversions!$C$1*1000000*intermediates!$B$50</f>
        <v>0</v>
      </c>
      <c r="CB104" s="322">
        <f>BT104*1000000*intermediates!$B$49</f>
        <v>0</v>
      </c>
      <c r="CC104" s="214">
        <f>BW104*conversions!$C$1*1000000/L104</f>
        <v>24775.6941157847</v>
      </c>
      <c r="CD104" s="173">
        <f t="shared" si="189"/>
        <v>2048</v>
      </c>
      <c r="CE104" s="173"/>
      <c r="CF104" s="173"/>
      <c r="CG104" s="173"/>
      <c r="CH104" s="173"/>
      <c r="CI104" s="173">
        <f t="shared" si="155"/>
        <v>2492.6478213345072</v>
      </c>
      <c r="CJ104" s="173">
        <f t="shared" si="156"/>
        <v>1656.8027288501949</v>
      </c>
      <c r="CK104" s="173">
        <f t="shared" si="157"/>
        <v>1552.9356674559601</v>
      </c>
      <c r="CL104" s="173">
        <f t="shared" si="158"/>
        <v>1928.7270335662972</v>
      </c>
      <c r="CM104" s="173"/>
      <c r="CN104" s="173"/>
      <c r="CO104" s="329">
        <f t="shared" si="169"/>
        <v>13437.303827173877</v>
      </c>
      <c r="CP104" s="174">
        <f t="shared" si="159"/>
        <v>8.570851599268412</v>
      </c>
      <c r="CQ104" s="228">
        <f t="shared" si="160"/>
        <v>9</v>
      </c>
      <c r="CR104" s="228">
        <f t="shared" si="170"/>
        <v>126</v>
      </c>
      <c r="CS104" s="214">
        <f t="shared" ca="1" si="161"/>
        <v>23.895225632833931</v>
      </c>
      <c r="CT104" s="190">
        <f t="shared" ca="1" si="162"/>
        <v>2.4085644358605163</v>
      </c>
      <c r="CU104" s="190">
        <f t="shared" ca="1" si="187"/>
        <v>23.895225632833931</v>
      </c>
      <c r="CV104" s="198">
        <f t="shared" si="174"/>
        <v>3188.4161559431186</v>
      </c>
      <c r="CW104" s="198">
        <f t="shared" ca="1" si="171"/>
        <v>3555.3409606984274</v>
      </c>
      <c r="CX104" s="198">
        <f t="shared" ca="1" si="172"/>
        <v>3427.7619580155379</v>
      </c>
      <c r="CY104" s="198">
        <f t="shared" ca="1" si="173"/>
        <v>-127.57900268288982</v>
      </c>
      <c r="CZ104" s="199">
        <f ca="1">IF(CX104&lt;intermediates!$B$55,intermediates!$B$56+(CX104-intermediates!$B$55)*intermediates!$B$53,intermediates!$B$56+(data!CX104-intermediates!$B$55)*intermediates!$B$58)</f>
        <v>1.8331076726570397</v>
      </c>
      <c r="DG104" s="201">
        <f>IF(A104&gt;MAX(intermediates!B$31,intermediates!$B$32),DG103,DG103+intermediates!$B$60*DG$73)</f>
        <v>17889726708750</v>
      </c>
      <c r="DH104" s="201">
        <f>IF(A104&gt;MAX(intermediates!B$31,intermediates!$B$32),DH103,DH103+intermediates!$B$61*DH$73)</f>
        <v>30248482558125</v>
      </c>
      <c r="DI104" s="201">
        <f>IF(A104&gt;MAX(intermediates!B$31,intermediates!$B$32),DI103,DI103+intermediates!$B$62*DI$73)</f>
        <v>39218146403000</v>
      </c>
      <c r="DJ104" s="221"/>
      <c r="EE104" s="218"/>
      <c r="EF104" s="212">
        <f>$EF$69+intermediates!$B$90*(A104-2013)*intermediates!$B$92+intermediates!$B$91*intermediates!$B$92*(A104-2013)^2</f>
        <v>3017.9292385492186</v>
      </c>
      <c r="EH104" s="212">
        <f>IF(A104&lt;intermediates!$B$29,data!EH103,IF(A104&lt;intermediates!$B$31,data!$EH$69+(intermediates!$B$93-data!$EH$69)*(data!A104-intermediates!$B$29)/(intermediates!$B$31-intermediates!$B$29),intermediates!$B$93))</f>
        <v>4.0188847861056781E-2</v>
      </c>
      <c r="EI104" s="212">
        <f t="shared" si="128"/>
        <v>4.0188847861056781E-2</v>
      </c>
      <c r="EN104" s="218"/>
      <c r="EO104" s="212">
        <f t="shared" si="129"/>
        <v>2896.6421395257289</v>
      </c>
      <c r="EQ104" s="212">
        <f t="shared" si="130"/>
        <v>121.28709902348965</v>
      </c>
      <c r="ET104" s="214">
        <f>IF(A104&lt;intermediates!$B$29,ET103+intermediates!$B$63,ET103+intermediates!$B$63*intermediates!$B$67)</f>
        <v>1134.897191434728</v>
      </c>
      <c r="EU104" s="215">
        <f t="shared" si="131"/>
        <v>1134.897191434728</v>
      </c>
      <c r="EV104" s="216">
        <f>data!EU104*conversions!$C$13</f>
        <v>1.3198854336385886</v>
      </c>
      <c r="EX104" s="212">
        <f>intermediates!$B$64+intermediates!$B$64*(EXP(-(data!A104-intermediates!$B$66)/intermediates!$B$65)-1)</f>
        <v>1.1389157615337486E-2</v>
      </c>
      <c r="EY104" s="217">
        <f>IF(A104&lt;intermediates!$B$29,data!EX104,data!EY103+(data!EX104-data!EX103)*intermediates!$B$68)</f>
        <v>1.1389157615337486E-2</v>
      </c>
      <c r="EZ104" s="217">
        <f t="shared" si="132"/>
        <v>1.1389157615337486E-2</v>
      </c>
      <c r="FB104" s="212">
        <f>intermediates!$B$94+intermediates!$B$95+(intermediates!$B$95*(EXP(-(data!A104-intermediates!$B$97)/intermediates!$B$96)-1))</f>
        <v>1.6338050818501435</v>
      </c>
      <c r="FC104" s="217">
        <f>IF(A104&lt;intermediates!$B$29,data!FB104,data!FC103+(data!FB104-data!FB103)*intermediates!$B$68)</f>
        <v>1.6338050818501435</v>
      </c>
      <c r="FD104" s="212">
        <f t="shared" si="133"/>
        <v>1.6338050818501435</v>
      </c>
      <c r="FF104" s="184">
        <f>intermediates!$B$98+intermediates!$B$99*EXP(-(A104-intermediates!$B$101)/intermediates!$B$100)</f>
        <v>0.88738313114004763</v>
      </c>
      <c r="FG104" s="184">
        <f t="shared" si="101"/>
        <v>0.88738313114004763</v>
      </c>
      <c r="FI104" s="184">
        <f>intermediates!$B$102+intermediates!$B$103*EXP(-(A104-intermediates!$B$105)/intermediates!$B$104)</f>
        <v>1.7876955806537542E-2</v>
      </c>
      <c r="FJ104" s="184">
        <f t="shared" si="134"/>
        <v>1.7876955806537542E-2</v>
      </c>
      <c r="FL104" s="184">
        <f>intermediates!$B$106</f>
        <v>4.5616870531049965E-2</v>
      </c>
      <c r="FM104" s="184">
        <f t="shared" si="135"/>
        <v>4.5616870531049965E-2</v>
      </c>
      <c r="FN104" s="218">
        <f>IF(A104&lt;intermediates!$B$29,0,IF(A104&lt;intermediates!$B$31,(data!A104-intermediates!$B$29)/(intermediates!$B$31-intermediates!$B$29),1))</f>
        <v>0.9</v>
      </c>
      <c r="FO104" s="218">
        <f t="shared" si="176"/>
        <v>439197985465641.25</v>
      </c>
      <c r="FP104" s="218">
        <f t="shared" si="177"/>
        <v>494936144325158</v>
      </c>
      <c r="FQ104" s="218">
        <f t="shared" si="178"/>
        <v>5636905757246.6465</v>
      </c>
      <c r="FR104" s="218">
        <f t="shared" si="179"/>
        <v>808629187789759.25</v>
      </c>
      <c r="FS104" s="218">
        <f t="shared" si="180"/>
        <v>712513163212.16431</v>
      </c>
      <c r="FT104" s="218">
        <f>intermediates!$B$69*data!EU104/intermediates!$B$71</f>
        <v>2.8886921649523738</v>
      </c>
      <c r="FU104" s="218">
        <f>BC104*conversions!$C$1*1000000</f>
        <v>18117582786986.203</v>
      </c>
      <c r="FV104" s="218">
        <f t="shared" si="184"/>
        <v>6271898060583.0352</v>
      </c>
      <c r="FX104" s="221"/>
      <c r="FY104" s="221"/>
      <c r="FZ104" s="221"/>
      <c r="GA104" s="218">
        <f t="shared" si="190"/>
        <v>1138.3157521960363</v>
      </c>
      <c r="GB104" s="218">
        <f>GA104*1000000*10000*intermediates!$B$71/(intermediates!$B$72*data!EU104)</f>
        <v>4925740123882.3408</v>
      </c>
      <c r="GC104" s="218">
        <f t="shared" si="181"/>
        <v>9242384966643.4824</v>
      </c>
      <c r="GD104" s="218">
        <f t="shared" si="144"/>
        <v>21152536314321.023</v>
      </c>
      <c r="GE104" s="218">
        <f t="shared" si="182"/>
        <v>22586649089134.563</v>
      </c>
      <c r="GF104" s="218">
        <f t="shared" si="183"/>
        <v>403780527584.22998</v>
      </c>
      <c r="GG104" s="218">
        <f t="shared" si="136"/>
        <v>1030332247229.309</v>
      </c>
      <c r="GH104" s="218">
        <f t="shared" si="191"/>
        <v>9629378598119.8359</v>
      </c>
      <c r="GI104" s="218">
        <f t="shared" si="145"/>
        <v>325519531735.81055</v>
      </c>
      <c r="GJ104" s="218">
        <f>ET104*intermediates!$B$73/intermediates!$B$71</f>
        <v>4.3330382474285605</v>
      </c>
      <c r="GK104" s="218">
        <f>CL104*conversions!$C$1*1000000/data!GJ104</f>
        <v>5193080260706.3281</v>
      </c>
      <c r="GL104" s="218">
        <f>MIN(1,FN104)*(intermediates!$B$75-data!$GL$69)+data!$GL$69</f>
        <v>0.9040235353356959</v>
      </c>
      <c r="GM104" s="218">
        <f>GL104*intermediates!$B$74*(FS104+GC104+GK104+GG104+GF104+GB104+FV104)</f>
        <v>3767029370626.793</v>
      </c>
      <c r="GN104" s="218">
        <f>MIN(1,FN104)*intermediates!$B$76</f>
        <v>0.108</v>
      </c>
      <c r="GO104" s="218">
        <f t="shared" si="137"/>
        <v>3407049941810.5093</v>
      </c>
      <c r="GP104" s="218">
        <f>IF(A104&gt;intermediates!$B$29,MIN(1,(A104-intermediates!$B$29)/(intermediates!$B$31-intermediates!$B$29))*intermediates!$B$77,0)</f>
        <v>0.13500000000000001</v>
      </c>
      <c r="GQ104" s="218">
        <f>IF(AND(A104&gt;intermediates!$B$29+intermediates!$B$30,data!GP104&lt;intermediates!$B$77),1,0)</f>
        <v>0</v>
      </c>
      <c r="GR104" s="218">
        <f t="shared" si="192"/>
        <v>6498658251028.125</v>
      </c>
      <c r="GS104" s="218">
        <f t="shared" si="193"/>
        <v>47089372670552.961</v>
      </c>
      <c r="GT104" s="218">
        <f t="shared" si="188"/>
        <v>87356355669875</v>
      </c>
      <c r="GU104" s="218">
        <f t="shared" si="194"/>
        <v>45716804654028.125</v>
      </c>
      <c r="GV104" s="218">
        <f t="shared" si="195"/>
        <v>31546758720467.684</v>
      </c>
      <c r="GW104" s="218">
        <f t="shared" si="196"/>
        <v>1048836596322.0391</v>
      </c>
      <c r="GX104" s="218">
        <f>MIN(intermediates!$B$88,FN104*intermediates!$B$87*GO104)</f>
        <v>1533172473814.7292</v>
      </c>
      <c r="GY104" s="218">
        <f t="shared" si="197"/>
        <v>1873877467995.78</v>
      </c>
      <c r="GZ104" s="218">
        <f>MIN(intermediates!$B$88-GX104,intermediates!$B$87*data!GW104*FN104)</f>
        <v>471976468344.9176</v>
      </c>
      <c r="HA104" s="218">
        <f t="shared" si="138"/>
        <v>576860127977.12146</v>
      </c>
      <c r="HB104" s="218">
        <f t="shared" si="139"/>
        <v>2005148942159.647</v>
      </c>
      <c r="HC104" s="218">
        <f t="shared" si="198"/>
        <v>8087643353219.5479</v>
      </c>
      <c r="HD104" s="218">
        <f>HC104*intermediates!$B$79/(10000*1000000000)</f>
        <v>536.81089328046539</v>
      </c>
      <c r="HE104" s="218">
        <f>(GV104*intermediates!$B$80+GV104*GL104*intermediates!$B$82)/(10000*1000000000)</f>
        <v>1154.2512342961113</v>
      </c>
      <c r="HF104" s="218">
        <f>GU104*intermediates!$B$78/(10000*1000000000)</f>
        <v>4603.6526238264541</v>
      </c>
      <c r="HG104" s="218">
        <f>HB104*intermediates!$B$81/(10000*1000000000)</f>
        <v>504.02127457852453</v>
      </c>
      <c r="HH104" s="218">
        <f t="shared" si="199"/>
        <v>21.666967595127971</v>
      </c>
      <c r="HI104" s="218">
        <f t="shared" si="200"/>
        <v>6.4624181412464168</v>
      </c>
      <c r="HJ104" s="218">
        <f t="shared" si="201"/>
        <v>-29.769148958435039</v>
      </c>
      <c r="HK104" s="218">
        <f ca="1">SUM(HJ104:INDIRECT(ADDRESS(MAX(CELL("row",HJ104)-intermediates!$B$83,69),CELL("col",HJ104))))/intermediates!$B$83+SUM(HH104:INDIRECT(ADDRESS(MAX(CELL("row",HH104)-intermediates!$B$84,69),CELL("col",HH104))))/intermediates!$B$84+SUM(HI104:INDIRECT(ADDRESS(MAX(CELL("row",HI104)-intermediates!$B$85,69),CELL("col",HI104))))/intermediates!$B$85</f>
        <v>-24.324374033565519</v>
      </c>
      <c r="HL104" s="218">
        <f t="shared" ca="1" si="163"/>
        <v>-365.34580207241788</v>
      </c>
      <c r="HM104" s="188">
        <f t="shared" si="202"/>
        <v>2048</v>
      </c>
      <c r="HQ104" s="185">
        <f t="shared" si="203"/>
        <v>1115.1655258145665</v>
      </c>
      <c r="HR104" s="185">
        <f t="shared" si="204"/>
        <v>632.18782053707127</v>
      </c>
      <c r="HS104" s="185">
        <f t="shared" si="205"/>
        <v>496.49928671827041</v>
      </c>
      <c r="HT104" s="185">
        <f t="shared" si="206"/>
        <v>523.44634115192105</v>
      </c>
      <c r="HU104" s="185">
        <f t="shared" si="207"/>
        <v>379.70484607881309</v>
      </c>
      <c r="HV104" s="185">
        <f t="shared" si="208"/>
        <v>343.42003909641278</v>
      </c>
      <c r="HW104" s="185">
        <f t="shared" si="209"/>
        <v>655.0445425687949</v>
      </c>
      <c r="HX104" s="185">
        <f t="shared" si="210"/>
        <v>32.811356517994795</v>
      </c>
      <c r="HY104" s="185">
        <f t="shared" si="211"/>
        <v>568.18257102146788</v>
      </c>
      <c r="HZ104" s="185">
        <f t="shared" si="140"/>
        <v>4145.4684019658507</v>
      </c>
      <c r="IA104" s="185">
        <f t="shared" si="141"/>
        <v>4746.4623295053134</v>
      </c>
      <c r="IB104" s="185">
        <f t="shared" si="212"/>
        <v>2396.7944985878171</v>
      </c>
      <c r="IC104" s="185">
        <f t="shared" si="175"/>
        <v>4852.1817968058876</v>
      </c>
      <c r="ID104" s="185">
        <f t="shared" si="213"/>
        <v>3953.0671991999143</v>
      </c>
      <c r="IE104" s="184">
        <f t="shared" si="142"/>
        <v>-0.1787759628733539</v>
      </c>
      <c r="IF104" s="184">
        <f t="shared" si="143"/>
        <v>-2.6743655489077308E-2</v>
      </c>
    </row>
    <row r="105" spans="1:240" x14ac:dyDescent="0.3">
      <c r="A105" s="184">
        <v>2049</v>
      </c>
      <c r="E105" s="207">
        <v>8897069.5620000008</v>
      </c>
      <c r="F105" s="207">
        <v>9686800.1459999997</v>
      </c>
      <c r="G105" s="207">
        <v>10496326.079</v>
      </c>
      <c r="I105" s="207">
        <f t="shared" si="164"/>
        <v>8897069562</v>
      </c>
      <c r="J105" s="207">
        <f t="shared" si="164"/>
        <v>9686800146</v>
      </c>
      <c r="K105" s="207">
        <f t="shared" si="164"/>
        <v>10496326079</v>
      </c>
      <c r="L105" s="187">
        <f>IF(intermediates!$B$4&gt;=2,(intermediates!$B$4-2)*K105+(1-(intermediates!$B$4-2))*J105,(intermediates!$B$4-1)*J105+(1-(intermediates!$B$4-1))*I105)</f>
        <v>9985725252.6792278</v>
      </c>
      <c r="AJ105" s="184">
        <f>IF(intermediates!$B$46=0,$AJ$74+(intermediates!$B$15-$AJ$74)*MIN(1,(data!A105-data!$A$74)/(intermediates!$B$32-data!$A$74)),IF(A105&lt;2021,$AJ$74+(intermediates!$B$15-$AJ$74)*MIN(1,(data!A105-data!$A$74)/(intermediates!$B$32-data!$A$74)),intermediates!$B$47+(intermediates!$B$15-intermediates!$B$47)*MIN(1,(data!A105-$A$77)/(intermediates!$B$32-$A$77))))</f>
        <v>24894.980746885394</v>
      </c>
      <c r="AK105" s="192">
        <f t="shared" si="146"/>
        <v>24894.980746885394</v>
      </c>
      <c r="AL105" s="192">
        <f t="shared" si="185"/>
        <v>248594437909136.66</v>
      </c>
      <c r="AM105" s="192">
        <f>data!AL105/(1000000*conversions!$C$1)</f>
        <v>21308.094677926001</v>
      </c>
      <c r="AN105" s="192">
        <f>IF(intermediates!$B$13=1,($AJ$74+(27400-$AJ$74)*MIN(1,(data!A105-data!$A$74)/(intermediates!$B$32-data!$A$74)))*L105/(1000000*conversions!$C$1),data!AM105)</f>
        <v>21308.094677926001</v>
      </c>
      <c r="AV105" s="214">
        <f>IF(A105&lt;intermediates!$B$29,0,IF(A105&lt;intermediates!$B$31,(data!A105-intermediates!$B$29)*intermediates!$B$26/(intermediates!$B$31-intermediates!$B$29),intermediates!$B$26))</f>
        <v>9.3333333333333339</v>
      </c>
      <c r="AW105" s="212">
        <f>MIN(AW104+intermediates!$B$16,intermediates!$B$17*data!$AW$74)</f>
        <v>1680.4029900374042</v>
      </c>
      <c r="AX105" s="212">
        <f>AV105*1000/conversions!$C$16/intermediates!$B$40</f>
        <v>7641.2545970191968</v>
      </c>
      <c r="AY105" s="212">
        <f>AX105*(1-intermediates!$B$39)*intermediates!$B$28/(conversions!$C$2)</f>
        <v>2000.1613681428271</v>
      </c>
      <c r="AZ105" s="213">
        <f>IF(A105&lt;intermediates!$B$29,0,MIN(intermediates!$B$25,intermediates!$B$25*(A105-intermediates!$B$29)/(intermediates!$B$31-intermediates!$B$29)))</f>
        <v>0</v>
      </c>
      <c r="BA105" s="212">
        <f>IF(A105&lt;intermediates!$B$29,data!$BA$74,IF(intermediates!$B$23&gt;data!$BA$74,MIN(intermediates!$B$23,data!$BA$74+(intermediates!$B$23-data!$BA$74)*((data!A105-intermediates!$B$29)/(intermediates!$B$31-intermediates!$B$29))),MAX(intermediates!$B$23,data!$BA$74+(intermediates!$B$23-data!$BA$74)*((data!A105-intermediates!$B$29)/(intermediates!$B$31-intermediates!$B$29)))))</f>
        <v>7.5806117491047487E-2</v>
      </c>
      <c r="BB105" s="212">
        <f t="shared" si="147"/>
        <v>1615.283928665222</v>
      </c>
      <c r="BC105" s="212">
        <f t="shared" si="166"/>
        <v>1615.283928665222</v>
      </c>
      <c r="BD105" s="212">
        <f t="shared" si="167"/>
        <v>0</v>
      </c>
      <c r="BE105" s="214">
        <f>MAX(0,MIN(1,(data!A105-intermediates!$B$29)/(intermediates!$B$31-intermediates!$B$29)))*((intermediates!$B$38*L105)-$BE$69*1000000000)/1000000000+$BE$69</f>
        <v>1179.8078735452382</v>
      </c>
      <c r="BF105" s="214">
        <f t="shared" si="99"/>
        <v>1179.8078735452382</v>
      </c>
      <c r="BG105" s="214">
        <f t="shared" si="168"/>
        <v>0</v>
      </c>
      <c r="BH105" s="214">
        <f>BD105*conversions!$C$2/conversions!$C$17+BG105*conversions!$C$6/conversions!$C$10</f>
        <v>0</v>
      </c>
      <c r="BI105" s="214">
        <f>BH105*intermediates!$B$41*conversions!$C$11/(conversions!$C$2*conversions!$C$6*intermediates!$B$42)</f>
        <v>0</v>
      </c>
      <c r="BJ105" s="214">
        <f>BH105*intermediates!$B$43/(conversions!$C$1*intermediates!$B$42)</f>
        <v>0</v>
      </c>
      <c r="BK105" s="214">
        <f t="shared" si="148"/>
        <v>0</v>
      </c>
      <c r="BL105" s="214">
        <f t="shared" si="149"/>
        <v>21308.094677926001</v>
      </c>
      <c r="BM105" s="214">
        <f t="shared" si="150"/>
        <v>16012.246391080547</v>
      </c>
      <c r="BN105" s="214">
        <f>IF(A105&lt;intermediates!$B$29,MIN(BO104+intermediates!$B$33*AN104),MIN(BO104*intermediates!$B$35,BO104+intermediates!$B$37*AN104))</f>
        <v>14069.068279618106</v>
      </c>
      <c r="BO105" s="212">
        <f>IF(A105&lt;intermediates!$B$29,MIN(BM105,BO104+intermediates!$B$33*AN104),MIN(BM105,BO104*intermediates!$B$35,BO104+intermediates!$B$37*AN104))</f>
        <v>14069.068279618106</v>
      </c>
      <c r="BP105" s="214">
        <f t="shared" si="151"/>
        <v>0</v>
      </c>
      <c r="BQ105" s="214">
        <f t="shared" si="152"/>
        <v>1943.1781114624391</v>
      </c>
      <c r="BR105" s="212" t="str">
        <f t="shared" si="186"/>
        <v/>
      </c>
      <c r="BS105" s="212">
        <f>BP105*conversions!$C$1*intermediates!$B$42/intermediates!$B$43</f>
        <v>0</v>
      </c>
      <c r="BT105" s="214">
        <f>MIN(BT104+BS105,intermediates!$B$27*1000)</f>
        <v>0</v>
      </c>
      <c r="BU105" s="219" t="str">
        <f>IF(AND(BT105=intermediates!$B$27*1000,BT104&lt;&gt;intermediates!$B$27*1000),A105,"")</f>
        <v/>
      </c>
      <c r="BV105" s="212">
        <f>BT105*intermediates!$B$43/(conversions!$C$1*intermediates!$B$42)</f>
        <v>0</v>
      </c>
      <c r="BW105" s="214">
        <f t="shared" si="153"/>
        <v>21308.094677926001</v>
      </c>
      <c r="BX105" s="214">
        <f t="shared" si="154"/>
        <v>14069.068279618106</v>
      </c>
      <c r="BY105" s="227">
        <f>IF(OR(BQ105&gt;0,BT105&lt;&gt;intermediates!$B$27*1000),MAX(0,(BX105-BX104)/AM104),0.000000000001)</f>
        <v>2.9986327406272429E-2</v>
      </c>
      <c r="BZ105" s="322">
        <f>BH105*intermediates!$B$49*1000000</f>
        <v>0</v>
      </c>
      <c r="CA105" s="322">
        <f>BI105*conversions!$C$1*1000000*intermediates!$B$50</f>
        <v>0</v>
      </c>
      <c r="CB105" s="322">
        <f>BT105*1000000*intermediates!$B$49</f>
        <v>0</v>
      </c>
      <c r="CC105" s="214">
        <f>BW105*conversions!$C$1*1000000/L105</f>
        <v>24894.980746885394</v>
      </c>
      <c r="CD105" s="173">
        <f t="shared" si="189"/>
        <v>2049</v>
      </c>
      <c r="CE105" s="173"/>
      <c r="CF105" s="173"/>
      <c r="CG105" s="173"/>
      <c r="CH105" s="173"/>
      <c r="CI105" s="173">
        <f t="shared" si="155"/>
        <v>1943.1781114624391</v>
      </c>
      <c r="CJ105" s="173">
        <f t="shared" si="156"/>
        <v>1680.4029900374042</v>
      </c>
      <c r="CK105" s="173">
        <f t="shared" si="157"/>
        <v>1615.283928665222</v>
      </c>
      <c r="CL105" s="173">
        <f t="shared" si="158"/>
        <v>2000.1613681428271</v>
      </c>
      <c r="CM105" s="173"/>
      <c r="CN105" s="173"/>
      <c r="CO105" s="329">
        <f t="shared" si="169"/>
        <v>14069.068279618106</v>
      </c>
      <c r="CP105" s="174">
        <f t="shared" si="159"/>
        <v>6.6815259988772393</v>
      </c>
      <c r="CQ105" s="228">
        <f t="shared" si="160"/>
        <v>9.3333333333333339</v>
      </c>
      <c r="CR105" s="228">
        <f t="shared" si="170"/>
        <v>135.33333333333334</v>
      </c>
      <c r="CS105" s="214">
        <f t="shared" ca="1" si="161"/>
        <v>21.036120813431477</v>
      </c>
      <c r="CT105" s="190">
        <f t="shared" ca="1" si="162"/>
        <v>2.1066192270598836</v>
      </c>
      <c r="CU105" s="190">
        <f t="shared" ca="1" si="187"/>
        <v>21.036120813431477</v>
      </c>
      <c r="CV105" s="198">
        <f t="shared" si="174"/>
        <v>3195.0976819419957</v>
      </c>
      <c r="CW105" s="198">
        <f t="shared" ca="1" si="171"/>
        <v>3585.7104148451922</v>
      </c>
      <c r="CX105" s="198">
        <f t="shared" ca="1" si="172"/>
        <v>3448.7980788289692</v>
      </c>
      <c r="CY105" s="198">
        <f t="shared" ca="1" si="173"/>
        <v>-136.91233601622315</v>
      </c>
      <c r="CZ105" s="199">
        <f ca="1">IF(CX105&lt;intermediates!$B$55,intermediates!$B$56+(CX105-intermediates!$B$55)*intermediates!$B$53,intermediates!$B$56+(data!CX105-intermediates!$B$55)*intermediates!$B$58)</f>
        <v>1.8445471087963012</v>
      </c>
      <c r="DG105" s="201">
        <f>IF(A105&gt;MAX(intermediates!B$31,intermediates!$B$32),DG104,DG104+intermediates!$B$60*DG$73)</f>
        <v>17963157650000</v>
      </c>
      <c r="DH105" s="201">
        <f>IF(A105&gt;MAX(intermediates!B$31,intermediates!$B$32),DH104,DH104+intermediates!$B$61*DH$73)</f>
        <v>30170555275000</v>
      </c>
      <c r="DI105" s="201">
        <f>IF(A105&gt;MAX(intermediates!B$31,intermediates!$B$32),DI104,DI104+intermediates!$B$62*DI$73)</f>
        <v>39193204796000</v>
      </c>
      <c r="DJ105" s="221"/>
      <c r="EE105" s="218"/>
      <c r="EF105" s="212">
        <f>$EF$69+intermediates!$B$90*(A105-2013)*intermediates!$B$92+intermediates!$B$91*intermediates!$B$92*(A105-2013)^2</f>
        <v>3023.010728549219</v>
      </c>
      <c r="EH105" s="212">
        <f>IF(A105&lt;intermediates!$B$29,data!EH104,IF(A105&lt;intermediates!$B$31,data!$EH$69+(intermediates!$B$93-data!$EH$69)*(data!A105-intermediates!$B$29)/(intermediates!$B$31-intermediates!$B$29),intermediates!$B$93))</f>
        <v>3.5199939724339407E-2</v>
      </c>
      <c r="EI105" s="212">
        <f t="shared" si="128"/>
        <v>3.5199939724339407E-2</v>
      </c>
      <c r="EN105" s="218"/>
      <c r="EO105" s="212">
        <f t="shared" si="129"/>
        <v>2916.6009331182549</v>
      </c>
      <c r="EQ105" s="212">
        <f t="shared" si="130"/>
        <v>106.4097954309641</v>
      </c>
      <c r="ET105" s="214">
        <f>IF(A105&lt;intermediates!$B$29,ET104+intermediates!$B$63,ET104+intermediates!$B$63*intermediates!$B$67)</f>
        <v>1144.8727808261708</v>
      </c>
      <c r="EU105" s="215">
        <f t="shared" si="131"/>
        <v>1144.8727808261708</v>
      </c>
      <c r="EV105" s="216">
        <f>data!EU105*conversions!$C$13</f>
        <v>1.3314870441008366</v>
      </c>
      <c r="EX105" s="212">
        <f>intermediates!$B$64+intermediates!$B$64*(EXP(-(data!A105-intermediates!$B$66)/intermediates!$B$65)-1)</f>
        <v>1.1177427634455025E-2</v>
      </c>
      <c r="EY105" s="217">
        <f>IF(A105&lt;intermediates!$B$29,data!EX105,data!EY104+(data!EX105-data!EX104)*intermediates!$B$68)</f>
        <v>1.1177427634455025E-2</v>
      </c>
      <c r="EZ105" s="217">
        <f t="shared" si="132"/>
        <v>1.1177427634455025E-2</v>
      </c>
      <c r="FB105" s="212">
        <f>intermediates!$B$94+intermediates!$B$95+(intermediates!$B$95*(EXP(-(data!A105-intermediates!$B$97)/intermediates!$B$96)-1))</f>
        <v>1.6301561559182762</v>
      </c>
      <c r="FC105" s="217">
        <f>IF(A105&lt;intermediates!$B$29,data!FB105,data!FC104+(data!FB105-data!FB104)*intermediates!$B$68)</f>
        <v>1.6301561559182762</v>
      </c>
      <c r="FD105" s="212">
        <f t="shared" si="133"/>
        <v>1.6301561559182762</v>
      </c>
      <c r="FF105" s="184">
        <f>intermediates!$B$98+intermediates!$B$99*EXP(-(A105-intermediates!$B$101)/intermediates!$B$100)</f>
        <v>0.88787800520288751</v>
      </c>
      <c r="FG105" s="184">
        <f t="shared" si="101"/>
        <v>0.88787800520288751</v>
      </c>
      <c r="FI105" s="184">
        <f>intermediates!$B$102+intermediates!$B$103*EXP(-(A105-intermediates!$B$105)/intermediates!$B$104)</f>
        <v>1.7738635363615106E-2</v>
      </c>
      <c r="FJ105" s="184">
        <f t="shared" si="134"/>
        <v>1.7738635363615106E-2</v>
      </c>
      <c r="FL105" s="184">
        <f>intermediates!$B$106</f>
        <v>4.5616870531049965E-2</v>
      </c>
      <c r="FM105" s="184">
        <f t="shared" si="135"/>
        <v>4.5616870531049965E-2</v>
      </c>
      <c r="FN105" s="218">
        <f>IF(A105&lt;intermediates!$B$29,0,IF(A105&lt;intermediates!$B$31,(data!A105-intermediates!$B$29)/(intermediates!$B$31-intermediates!$B$29),1))</f>
        <v>0.93333333333333335</v>
      </c>
      <c r="FO105" s="218">
        <f t="shared" si="176"/>
        <v>387841328199104.25</v>
      </c>
      <c r="FP105" s="218">
        <f t="shared" si="177"/>
        <v>436818263237052.81</v>
      </c>
      <c r="FQ105" s="218">
        <f t="shared" si="178"/>
        <v>4882504526740.4834</v>
      </c>
      <c r="FR105" s="218">
        <f t="shared" si="179"/>
        <v>712081980833411.75</v>
      </c>
      <c r="FS105" s="218">
        <f t="shared" si="180"/>
        <v>621974766768.01978</v>
      </c>
      <c r="FT105" s="218">
        <f>intermediates!$B$69*data!EU105/intermediates!$B$71</f>
        <v>2.9140833696652986</v>
      </c>
      <c r="FU105" s="218">
        <f>BC105*conversions!$C$1*1000000</f>
        <v>18844979167760.922</v>
      </c>
      <c r="FV105" s="218">
        <f t="shared" si="184"/>
        <v>6466863427426.7148</v>
      </c>
      <c r="FX105" s="221"/>
      <c r="FY105" s="221"/>
      <c r="FZ105" s="221"/>
      <c r="GA105" s="218">
        <f t="shared" si="190"/>
        <v>1179.8078735452382</v>
      </c>
      <c r="GB105" s="218">
        <f>GA105*1000000*10000*intermediates!$B$71/(intermediates!$B$72*data!EU105)</f>
        <v>5060801819478.9453</v>
      </c>
      <c r="GC105" s="218">
        <f t="shared" si="181"/>
        <v>9285221265034.8691</v>
      </c>
      <c r="GD105" s="218">
        <f t="shared" si="144"/>
        <v>21434861278708.551</v>
      </c>
      <c r="GE105" s="218">
        <f t="shared" si="182"/>
        <v>22884735258261.168</v>
      </c>
      <c r="GF105" s="218">
        <f t="shared" si="183"/>
        <v>405943974139.16101</v>
      </c>
      <c r="GG105" s="218">
        <f t="shared" si="136"/>
        <v>1043930005413.454</v>
      </c>
      <c r="GH105" s="218">
        <f t="shared" si="191"/>
        <v>9623984955371.9121</v>
      </c>
      <c r="GI105" s="218">
        <f t="shared" si="145"/>
        <v>283211076430.97656</v>
      </c>
      <c r="GJ105" s="218">
        <f>ET105*intermediates!$B$73/intermediates!$B$71</f>
        <v>4.3711250544979476</v>
      </c>
      <c r="GK105" s="218">
        <f>CL105*conversions!$C$1*1000000/data!GJ105</f>
        <v>5338491960474.583</v>
      </c>
      <c r="GL105" s="218">
        <f>MIN(1,FN105)*(intermediates!$B$75-data!$GL$69)+data!$GL$69</f>
        <v>0.93601569022379727</v>
      </c>
      <c r="GM105" s="218">
        <f>GL105*intermediates!$B$74*(FS105+GC105+GK105+GG105+GF105+GB105+FV105)</f>
        <v>3962607525823.2002</v>
      </c>
      <c r="GN105" s="218">
        <f>MIN(1,FN105)*intermediates!$B$76</f>
        <v>0.112</v>
      </c>
      <c r="GO105" s="218">
        <f t="shared" si="137"/>
        <v>3604813491390.6021</v>
      </c>
      <c r="GP105" s="218">
        <f>IF(A105&gt;intermediates!$B$29,MIN(1,(A105-intermediates!$B$29)/(intermediates!$B$31-intermediates!$B$29))*intermediates!$B$77,0)</f>
        <v>0.13999999999999999</v>
      </c>
      <c r="GQ105" s="218">
        <f>IF(AND(A105&gt;intermediates!$B$29+intermediates!$B$30,data!GP105&lt;intermediates!$B$77),1,0)</f>
        <v>0</v>
      </c>
      <c r="GR105" s="218">
        <f t="shared" si="192"/>
        <v>6738719809499.999</v>
      </c>
      <c r="GS105" s="218">
        <f t="shared" si="193"/>
        <v>47411872572190.031</v>
      </c>
      <c r="GT105" s="218">
        <f t="shared" si="188"/>
        <v>87326917721000</v>
      </c>
      <c r="GU105" s="218">
        <f t="shared" si="194"/>
        <v>45931924605500</v>
      </c>
      <c r="GV105" s="218">
        <f t="shared" si="195"/>
        <v>32185834744558.941</v>
      </c>
      <c r="GW105" s="218">
        <f t="shared" si="196"/>
        <v>721840352809.96875</v>
      </c>
      <c r="GX105" s="218">
        <f>MIN(intermediates!$B$88,FN105*intermediates!$B$87*GO105)</f>
        <v>1682246295982.281</v>
      </c>
      <c r="GY105" s="218">
        <f t="shared" si="197"/>
        <v>1922567195408.321</v>
      </c>
      <c r="GZ105" s="218">
        <f>MIN(intermediates!$B$88-GX105,intermediates!$B$87*data!GW105*FN105)</f>
        <v>336858831311.31873</v>
      </c>
      <c r="HA105" s="218">
        <f t="shared" si="138"/>
        <v>384981521498.65002</v>
      </c>
      <c r="HB105" s="218">
        <f t="shared" si="139"/>
        <v>2019105127293.5996</v>
      </c>
      <c r="HC105" s="218">
        <f t="shared" si="198"/>
        <v>7190053243647.4551</v>
      </c>
      <c r="HD105" s="218">
        <f>HC105*intermediates!$B$79/(10000*1000000000)</f>
        <v>477.23406385372073</v>
      </c>
      <c r="HE105" s="218">
        <f>(GV105*intermediates!$B$80+GV105*GL105*intermediates!$B$82)/(10000*1000000000)</f>
        <v>1185.085788951171</v>
      </c>
      <c r="HF105" s="218">
        <f>GU105*intermediates!$B$78/(10000*1000000000)</f>
        <v>4625.3150636344308</v>
      </c>
      <c r="HG105" s="218">
        <f>HB105*intermediates!$B$81/(10000*1000000000)</f>
        <v>507.52935024889962</v>
      </c>
      <c r="HH105" s="218">
        <f t="shared" si="199"/>
        <v>21.662439807976625</v>
      </c>
      <c r="HI105" s="218">
        <f t="shared" si="200"/>
        <v>3.5080756703750922</v>
      </c>
      <c r="HJ105" s="218">
        <f t="shared" si="201"/>
        <v>-28.742274771684947</v>
      </c>
      <c r="HK105" s="218">
        <f ca="1">SUM(HJ105:INDIRECT(ADDRESS(MAX(CELL("row",HJ105)-intermediates!$B$83,69),CELL("col",HJ105))))/intermediates!$B$83+SUM(HH105:INDIRECT(ADDRESS(MAX(CELL("row",HH105)-intermediates!$B$84,69),CELL("col",HH105))))/intermediates!$B$84+SUM(HI105:INDIRECT(ADDRESS(MAX(CELL("row",HI105)-intermediates!$B$85,69),CELL("col",HI105))))/intermediates!$B$85</f>
        <v>-23.687928147887572</v>
      </c>
      <c r="HL105" s="218">
        <f t="shared" ca="1" si="163"/>
        <v>-389.03373022030547</v>
      </c>
      <c r="HM105" s="188">
        <f t="shared" si="202"/>
        <v>2049</v>
      </c>
      <c r="HQ105" s="185">
        <f t="shared" si="203"/>
        <v>1108.9689186024166</v>
      </c>
      <c r="HR105" s="185">
        <f t="shared" si="204"/>
        <v>647.6107907827344</v>
      </c>
      <c r="HS105" s="185">
        <f t="shared" si="205"/>
        <v>506.803631325737</v>
      </c>
      <c r="HT105" s="185">
        <f t="shared" si="206"/>
        <v>534.61234165662972</v>
      </c>
      <c r="HU105" s="185">
        <f t="shared" si="207"/>
        <v>396.82721340245263</v>
      </c>
      <c r="HV105" s="185">
        <f t="shared" si="208"/>
        <v>360.99666275350501</v>
      </c>
      <c r="HW105" s="185">
        <f t="shared" si="209"/>
        <v>674.8352912766112</v>
      </c>
      <c r="HX105" s="185">
        <f t="shared" si="210"/>
        <v>28.361593100610232</v>
      </c>
      <c r="HY105" s="185">
        <f t="shared" si="211"/>
        <v>488.94841418058036</v>
      </c>
      <c r="HZ105" s="185">
        <f>HQ105+HR105+HS105+HT105+HU105+HV105+HW105</f>
        <v>4230.6548498000866</v>
      </c>
      <c r="IA105" s="185">
        <f t="shared" si="141"/>
        <v>4747.9648570812778</v>
      </c>
      <c r="IB105" s="185">
        <f t="shared" si="212"/>
        <v>2406.6324843144548</v>
      </c>
      <c r="IC105" s="185">
        <f t="shared" si="175"/>
        <v>4820.2520805472241</v>
      </c>
      <c r="ID105" s="185">
        <f t="shared" si="213"/>
        <v>3924.9232083051993</v>
      </c>
      <c r="IE105" s="184">
        <f t="shared" si="142"/>
        <v>-0.15021879396252658</v>
      </c>
      <c r="IF105" s="184">
        <f t="shared" si="143"/>
        <v>-1.8417487331468124E-2</v>
      </c>
    </row>
    <row r="106" spans="1:240" x14ac:dyDescent="0.3">
      <c r="A106" s="211">
        <v>2050</v>
      </c>
      <c r="E106" s="207">
        <v>8906797.0989999995</v>
      </c>
      <c r="F106" s="207">
        <v>9735033.9000000004</v>
      </c>
      <c r="G106" s="207">
        <v>10587773.914000001</v>
      </c>
      <c r="I106" s="207">
        <f t="shared" si="164"/>
        <v>8906797099</v>
      </c>
      <c r="J106" s="207">
        <f t="shared" si="164"/>
        <v>9735033900</v>
      </c>
      <c r="K106" s="207">
        <f t="shared" si="164"/>
        <v>10587773914</v>
      </c>
      <c r="L106" s="187">
        <f>IF(intermediates!$B$4&gt;=2,(intermediates!$B$4-2)*K106+(1-(intermediates!$B$4-2))*J106,(intermediates!$B$4-1)*J106+(1-(intermediates!$B$4-1))*I106)</f>
        <v>10049916214.776438</v>
      </c>
      <c r="AJ106" s="184">
        <f>IF(intermediates!$B$46=0,$AJ$74+(intermediates!$B$15-$AJ$74)*MIN(1,(data!A106-data!$A$74)/(intermediates!$B$32-data!$A$74)),IF(A106&lt;2021,$AJ$74+(intermediates!$B$15-$AJ$74)*MIN(1,(data!A106-data!$A$74)/(intermediates!$B$32-data!$A$74)),intermediates!$B$47+(intermediates!$B$15-intermediates!$B$47)*MIN(1,(data!A106-$A$77)/(intermediates!$B$32-$A$77))))</f>
        <v>25014.267377986092</v>
      </c>
      <c r="AK106" s="192">
        <f t="shared" si="146"/>
        <v>25014.267377986092</v>
      </c>
      <c r="AL106" s="192">
        <f t="shared" si="185"/>
        <v>251391291322775.72</v>
      </c>
      <c r="AM106" s="192">
        <f>data!AL106/(1000000*conversions!$C$1)</f>
        <v>21547.824970523634</v>
      </c>
      <c r="AN106" s="192">
        <f>IF(intermediates!$B$13=1,($AJ$74+(27400-$AJ$74)*MIN(1,(data!A106-data!$A$74)/(intermediates!$B$32-data!$A$74)))*L106/(1000000*conversions!$C$1),data!AM106)</f>
        <v>21547.824970523634</v>
      </c>
      <c r="AV106" s="214">
        <f>IF(A106&lt;intermediates!$B$29,0,IF(A106&lt;intermediates!$B$31,(data!A106-intermediates!$B$29)*intermediates!$B$26/(intermediates!$B$31-intermediates!$B$29),intermediates!$B$26))</f>
        <v>9.6666666666666661</v>
      </c>
      <c r="AW106" s="212">
        <f>MIN(AW105+intermediates!$B$16,intermediates!$B$17*data!$AW$74)</f>
        <v>1704.0032512246135</v>
      </c>
      <c r="AX106" s="212">
        <f>AV106*1000/conversions!$C$16/intermediates!$B$40</f>
        <v>7914.1565469127381</v>
      </c>
      <c r="AY106" s="212">
        <f>AX106*(1-intermediates!$B$39)*intermediates!$B$28/(conversions!$C$2)</f>
        <v>2071.5957027193563</v>
      </c>
      <c r="AZ106" s="213">
        <f>IF(A106&lt;intermediates!$B$29,0,MIN(intermediates!$B$25,intermediates!$B$25*(A106-intermediates!$B$29)/(intermediates!$B$31-intermediates!$B$29)))</f>
        <v>0</v>
      </c>
      <c r="BA106" s="212">
        <f>IF(A106&lt;intermediates!$B$29,data!$BA$74,IF(intermediates!$B$23&gt;data!$BA$74,MIN(intermediates!$B$23,data!$BA$74+(intermediates!$B$23-data!$BA$74)*((data!A106-intermediates!$B$29)/(intermediates!$B$31-intermediates!$B$29))),MAX(intermediates!$B$23,data!$BA$74+(intermediates!$B$23-data!$BA$74)*((data!A106-intermediates!$B$29)/(intermediates!$B$31-intermediates!$B$29)))))</f>
        <v>7.7903058745523737E-2</v>
      </c>
      <c r="BB106" s="212">
        <f t="shared" si="147"/>
        <v>1678.6414745169659</v>
      </c>
      <c r="BC106" s="212">
        <f t="shared" si="166"/>
        <v>1678.6414745169659</v>
      </c>
      <c r="BD106" s="212">
        <f t="shared" si="167"/>
        <v>0</v>
      </c>
      <c r="BE106" s="214">
        <f>MAX(0,MIN(1,(data!A106-intermediates!$B$29)/(intermediates!$B$31-intermediates!$B$29)))*((intermediates!$B$38*L106)-$BE$69*1000000000)/1000000000+$BE$69</f>
        <v>1221.7681729851502</v>
      </c>
      <c r="BF106" s="214">
        <f t="shared" si="99"/>
        <v>1221.7681729851502</v>
      </c>
      <c r="BG106" s="214">
        <f t="shared" si="168"/>
        <v>0</v>
      </c>
      <c r="BH106" s="214">
        <f>BD106*conversions!$C$2/conversions!$C$17+BG106*conversions!$C$6/conversions!$C$10</f>
        <v>0</v>
      </c>
      <c r="BI106" s="214">
        <f>BH106*intermediates!$B$41*conversions!$C$11/(conversions!$C$2*conversions!$C$6*intermediates!$B$42)</f>
        <v>0</v>
      </c>
      <c r="BJ106" s="214">
        <f>BH106*intermediates!$B$43/(conversions!$C$1*intermediates!$B$42)</f>
        <v>0</v>
      </c>
      <c r="BK106" s="214">
        <f t="shared" si="148"/>
        <v>0</v>
      </c>
      <c r="BL106" s="214">
        <f t="shared" si="149"/>
        <v>21547.824970523634</v>
      </c>
      <c r="BM106" s="214">
        <f t="shared" si="150"/>
        <v>16093.584542062697</v>
      </c>
      <c r="BN106" s="214">
        <f>IF(A106&lt;intermediates!$B$29,MIN(BO105+intermediates!$B$33*AN105),MIN(BO105*intermediates!$B$35,BO105+intermediates!$B$37*AN105))</f>
        <v>14708.019783034246</v>
      </c>
      <c r="BO106" s="212">
        <f>IF(A106&lt;intermediates!$B$29,MIN(BM106,BO105+intermediates!$B$33*AN105),MIN(BM106,BO105*intermediates!$B$35,BO105+intermediates!$B$37*AN105))</f>
        <v>14708.019783034246</v>
      </c>
      <c r="BP106" s="214">
        <f t="shared" si="151"/>
        <v>0</v>
      </c>
      <c r="BQ106" s="214">
        <f t="shared" si="152"/>
        <v>1385.5647590284534</v>
      </c>
      <c r="BR106" s="212" t="str">
        <f t="shared" si="186"/>
        <v/>
      </c>
      <c r="BS106" s="212">
        <f>BP106*conversions!$C$1*intermediates!$B$42/intermediates!$B$43</f>
        <v>0</v>
      </c>
      <c r="BT106" s="214">
        <f>MIN(BT105+BS106,intermediates!$B$27*1000)</f>
        <v>0</v>
      </c>
      <c r="BU106" s="219" t="str">
        <f>IF(AND(BT106=intermediates!$B$27*1000,BT105&lt;&gt;intermediates!$B$27*1000),A106,"")</f>
        <v/>
      </c>
      <c r="BV106" s="212">
        <f>BT106*intermediates!$B$43/(conversions!$C$1*intermediates!$B$42)</f>
        <v>0</v>
      </c>
      <c r="BW106" s="214">
        <f t="shared" si="153"/>
        <v>21547.824970523634</v>
      </c>
      <c r="BX106" s="214">
        <f t="shared" si="154"/>
        <v>14708.019783034246</v>
      </c>
      <c r="BY106" s="227">
        <f>IF(OR(BQ106&gt;0,BT106&lt;&gt;intermediates!$B$27*1000),MAX(0,(BX106-BX105)/AM105),0.000000000001)</f>
        <v>2.9986327406272401E-2</v>
      </c>
      <c r="BZ106" s="322">
        <f>BH106*intermediates!$B$49*1000000</f>
        <v>0</v>
      </c>
      <c r="CA106" s="322">
        <f>BI106*conversions!$C$1*1000000*intermediates!$B$50</f>
        <v>0</v>
      </c>
      <c r="CB106" s="322">
        <f>BT106*1000000*intermediates!$B$49</f>
        <v>0</v>
      </c>
      <c r="CC106" s="214">
        <f>BW106*conversions!$C$1*1000000/L106</f>
        <v>25014.267377986092</v>
      </c>
      <c r="CD106" s="173">
        <f t="shared" si="189"/>
        <v>2050</v>
      </c>
      <c r="CE106" s="173"/>
      <c r="CF106" s="173"/>
      <c r="CG106" s="173"/>
      <c r="CH106" s="173"/>
      <c r="CI106" s="173">
        <f t="shared" si="155"/>
        <v>1385.5647590284534</v>
      </c>
      <c r="CJ106" s="173">
        <f t="shared" si="156"/>
        <v>1704.0032512246135</v>
      </c>
      <c r="CK106" s="173">
        <f t="shared" si="157"/>
        <v>1678.6414745169659</v>
      </c>
      <c r="CL106" s="173">
        <f t="shared" si="158"/>
        <v>2071.5957027193563</v>
      </c>
      <c r="CM106" s="173"/>
      <c r="CN106" s="173"/>
      <c r="CO106" s="329">
        <f t="shared" si="169"/>
        <v>14708.019783034246</v>
      </c>
      <c r="CP106" s="174">
        <f t="shared" si="159"/>
        <v>4.764198868836238</v>
      </c>
      <c r="CQ106" s="228">
        <f t="shared" si="160"/>
        <v>9.6666666666666661</v>
      </c>
      <c r="CR106" s="228">
        <f t="shared" si="170"/>
        <v>145</v>
      </c>
      <c r="CS106" s="214">
        <f t="shared" ca="1" si="161"/>
        <v>18.131337346936856</v>
      </c>
      <c r="CT106" s="190">
        <f t="shared" ca="1" si="162"/>
        <v>1.8041282095743512</v>
      </c>
      <c r="CU106" s="190">
        <f t="shared" ca="1" si="187"/>
        <v>18.131337346936856</v>
      </c>
      <c r="CV106" s="198">
        <f t="shared" si="174"/>
        <v>3199.8618808108317</v>
      </c>
      <c r="CW106" s="198">
        <f t="shared" ca="1" si="171"/>
        <v>3613.5084188587957</v>
      </c>
      <c r="CX106" s="198">
        <f t="shared" ca="1" si="172"/>
        <v>3466.9294161759062</v>
      </c>
      <c r="CY106" s="198">
        <f t="shared" ca="1" si="173"/>
        <v>-146.57900268288981</v>
      </c>
      <c r="CZ106" s="199">
        <f ca="1">IF(CX106&lt;intermediates!$B$55,intermediates!$B$56+(CX106-intermediates!$B$55)*intermediates!$B$53,intermediates!$B$56+(data!CX106-intermediates!$B$55)*intermediates!$B$58)</f>
        <v>1.8544069245645805</v>
      </c>
      <c r="DG106" s="201">
        <f>IF(A106&gt;MAX(intermediates!B$31,intermediates!$B$32),DG105,DG105+intermediates!$B$60*DG$73)</f>
        <v>18036588591250</v>
      </c>
      <c r="DH106" s="201">
        <f>IF(A106&gt;MAX(intermediates!B$31,intermediates!$B$32),DH105,DH105+intermediates!$B$61*DH$73)</f>
        <v>30092627991875</v>
      </c>
      <c r="DI106" s="201">
        <f>IF(A106&gt;MAX(intermediates!B$31,intermediates!$B$32),DI105,DI105+intermediates!$B$62*DI$73)</f>
        <v>39168263189000</v>
      </c>
      <c r="DJ106" s="221"/>
      <c r="EE106" s="218"/>
      <c r="EF106" s="212">
        <f>$EF$69+intermediates!$B$90*(A106-2013)*intermediates!$B$92+intermediates!$B$91*intermediates!$B$92*(A106-2013)^2</f>
        <v>3028.0108185492186</v>
      </c>
      <c r="EH106" s="212">
        <f>IF(A106&lt;intermediates!$B$29,data!EH105,IF(A106&lt;intermediates!$B$31,data!$EH$69+(intermediates!$B$93-data!$EH$69)*(data!A106-intermediates!$B$29)/(intermediates!$B$31-intermediates!$B$29),intermediates!$B$93))</f>
        <v>3.0211031587622034E-2</v>
      </c>
      <c r="EI106" s="212">
        <f t="shared" si="128"/>
        <v>3.0211031587622034E-2</v>
      </c>
      <c r="EN106" s="218"/>
      <c r="EO106" s="212">
        <f t="shared" si="129"/>
        <v>2936.5314880623669</v>
      </c>
      <c r="EQ106" s="212">
        <f t="shared" si="130"/>
        <v>91.479330486851723</v>
      </c>
      <c r="ET106" s="214">
        <f>IF(A106&lt;intermediates!$B$29,ET105+intermediates!$B$63,ET105+intermediates!$B$63*intermediates!$B$67)</f>
        <v>1154.8483702176136</v>
      </c>
      <c r="EU106" s="215">
        <f t="shared" si="131"/>
        <v>1154.8483702176136</v>
      </c>
      <c r="EV106" s="216">
        <f>data!EU106*conversions!$C$13</f>
        <v>1.3430886545630847</v>
      </c>
      <c r="EX106" s="212">
        <f>intermediates!$B$64+intermediates!$B$64*(EXP(-(data!A106-intermediates!$B$66)/intermediates!$B$65)-1)</f>
        <v>1.0969633816923587E-2</v>
      </c>
      <c r="EY106" s="217">
        <f>IF(A106&lt;intermediates!$B$29,data!EX106,data!EY105+(data!EX106-data!EX105)*intermediates!$B$68)</f>
        <v>1.0969633816923587E-2</v>
      </c>
      <c r="EZ106" s="217">
        <f t="shared" si="132"/>
        <v>1.0969633816923587E-2</v>
      </c>
      <c r="FB106" s="212">
        <f>intermediates!$B$94+intermediates!$B$95+(intermediates!$B$95*(EXP(-(data!A106-intermediates!$B$97)/intermediates!$B$96)-1))</f>
        <v>1.6266067378696085</v>
      </c>
      <c r="FC106" s="217">
        <f>IF(A106&lt;intermediates!$B$29,data!FB106,data!FC105+(data!FB106-data!FB105)*intermediates!$B$68)</f>
        <v>1.6266067378696085</v>
      </c>
      <c r="FD106" s="212">
        <f t="shared" si="133"/>
        <v>1.6266067378696085</v>
      </c>
      <c r="FF106" s="184">
        <f>intermediates!$B$98+intermediates!$B$99*EXP(-(A106-intermediates!$B$101)/intermediates!$B$100)</f>
        <v>0.88836205104986832</v>
      </c>
      <c r="FG106" s="184">
        <f t="shared" si="101"/>
        <v>0.88836205104986832</v>
      </c>
      <c r="FI106" s="184">
        <f>intermediates!$B$102+intermediates!$B$103*EXP(-(A106-intermediates!$B$105)/intermediates!$B$104)</f>
        <v>1.7603940599139049E-2</v>
      </c>
      <c r="FJ106" s="184">
        <f t="shared" si="134"/>
        <v>1.7603940599139049E-2</v>
      </c>
      <c r="FL106" s="184">
        <f>intermediates!$B$106</f>
        <v>4.5616870531049965E-2</v>
      </c>
      <c r="FM106" s="184">
        <f t="shared" si="135"/>
        <v>4.5616870531049965E-2</v>
      </c>
      <c r="FN106" s="218">
        <f>IF(A106&lt;intermediates!$B$29,0,IF(A106&lt;intermediates!$B$31,(data!A106-intermediates!$B$29)/(intermediates!$B$31-intermediates!$B$29),1))</f>
        <v>0.96666666666666667</v>
      </c>
      <c r="FO106" s="218">
        <f t="shared" si="176"/>
        <v>335566256473496.81</v>
      </c>
      <c r="FP106" s="218">
        <f t="shared" si="177"/>
        <v>377735919805358.44</v>
      </c>
      <c r="FQ106" s="218">
        <f t="shared" si="178"/>
        <v>4143624719763.5962</v>
      </c>
      <c r="FR106" s="218">
        <f t="shared" si="179"/>
        <v>614427792290770.13</v>
      </c>
      <c r="FS106" s="218">
        <f t="shared" si="180"/>
        <v>532041961642.97357</v>
      </c>
      <c r="FT106" s="218">
        <f>intermediates!$B$69*data!EU106/intermediates!$B$71</f>
        <v>2.9394745743782238</v>
      </c>
      <c r="FU106" s="218">
        <f>BC106*conversions!$C$1*1000000</f>
        <v>19584150536031.27</v>
      </c>
      <c r="FV106" s="218">
        <f t="shared" si="184"/>
        <v>6662466383188.1699</v>
      </c>
      <c r="FX106" s="221"/>
      <c r="FY106" s="221"/>
      <c r="FZ106" s="221"/>
      <c r="GA106" s="218">
        <f t="shared" si="190"/>
        <v>1221.7681729851502</v>
      </c>
      <c r="GB106" s="218">
        <f>GA106*1000000*10000*intermediates!$B$71/(intermediates!$B$72*data!EU106)</f>
        <v>5195521095992.0713</v>
      </c>
      <c r="GC106" s="218">
        <f t="shared" si="181"/>
        <v>9327494504931.6309</v>
      </c>
      <c r="GD106" s="218">
        <f t="shared" si="144"/>
        <v>21717523945754.848</v>
      </c>
      <c r="GE106" s="218">
        <f t="shared" si="182"/>
        <v>23183183618709.793</v>
      </c>
      <c r="GF106" s="218">
        <f t="shared" si="183"/>
        <v>408115387322.70068</v>
      </c>
      <c r="GG106" s="218">
        <f t="shared" si="136"/>
        <v>1057544285632.243</v>
      </c>
      <c r="GH106" s="218">
        <f t="shared" si="191"/>
        <v>9618066206920.752</v>
      </c>
      <c r="GI106" s="218">
        <f t="shared" si="145"/>
        <v>241470259653.85156</v>
      </c>
      <c r="GJ106" s="218">
        <f>ET106*intermediates!$B$73/intermediates!$B$71</f>
        <v>4.4092118615673357</v>
      </c>
      <c r="GK106" s="218">
        <f>CL106*conversions!$C$1*1000000/data!GJ106</f>
        <v>5481391525408.498</v>
      </c>
      <c r="GL106" s="218">
        <f>MIN(1,FN106)*(intermediates!$B$75-data!$GL$69)+data!$GL$69</f>
        <v>0.96800784511189863</v>
      </c>
      <c r="GM106" s="218">
        <f>GL106*intermediates!$B$74*(FS106+GC106+GK106+GG106+GF106+GB106+FV106)</f>
        <v>4162130042445.9053</v>
      </c>
      <c r="GN106" s="218">
        <f>MIN(1,FN106)*intermediates!$B$76</f>
        <v>0.11599999999999999</v>
      </c>
      <c r="GO106" s="218">
        <f t="shared" si="137"/>
        <v>3807897801641.4458</v>
      </c>
      <c r="GP106" s="218">
        <f>IF(A106&gt;intermediates!$B$29,MIN(1,(A106-intermediates!$B$29)/(intermediates!$B$31-intermediates!$B$29))*intermediates!$B$77,0)</f>
        <v>0.14499999999999999</v>
      </c>
      <c r="GQ106" s="218">
        <f>IF(AND(A106&gt;intermediates!$B$29+intermediates!$B$30,data!GP106&lt;intermediates!$B$77),1,0)</f>
        <v>0</v>
      </c>
      <c r="GR106" s="218">
        <f t="shared" si="192"/>
        <v>6978736404553.125</v>
      </c>
      <c r="GS106" s="218">
        <f t="shared" si="193"/>
        <v>47756964112522.352</v>
      </c>
      <c r="GT106" s="218">
        <f t="shared" si="188"/>
        <v>87297479772125</v>
      </c>
      <c r="GU106" s="218">
        <f t="shared" si="194"/>
        <v>46146999593553.125</v>
      </c>
      <c r="GV106" s="218">
        <f t="shared" si="195"/>
        <v>32826705186564.188</v>
      </c>
      <c r="GW106" s="218">
        <f t="shared" si="196"/>
        <v>372252470602.64844</v>
      </c>
      <c r="GX106" s="218">
        <f>MIN(intermediates!$B$88,FN106*intermediates!$B$87*GO106)</f>
        <v>1840483937460.0322</v>
      </c>
      <c r="GY106" s="218">
        <f t="shared" si="197"/>
        <v>1967413864181.4136</v>
      </c>
      <c r="GZ106" s="218">
        <f>MIN(intermediates!$B$88-GX106,intermediates!$B$87*data!GW106*FN106)</f>
        <v>179922027457.94675</v>
      </c>
      <c r="HA106" s="218">
        <f t="shared" si="138"/>
        <v>192330443144.70169</v>
      </c>
      <c r="HB106" s="218">
        <f t="shared" si="139"/>
        <v>2020405964917.979</v>
      </c>
      <c r="HC106" s="218">
        <f t="shared" si="198"/>
        <v>6303369027089.7119</v>
      </c>
      <c r="HD106" s="218">
        <f>HC106*intermediates!$B$79/(10000*1000000000)</f>
        <v>418.38110439939817</v>
      </c>
      <c r="HE106" s="218">
        <f>(GV106*intermediates!$B$80+GV106*GL106*intermediates!$B$82)/(10000*1000000000)</f>
        <v>1216.2827475996844</v>
      </c>
      <c r="HF106" s="218">
        <f>GU106*intermediates!$B$78/(10000*1000000000)</f>
        <v>4646.972975655257</v>
      </c>
      <c r="HG106" s="218">
        <f>HB106*intermediates!$B$81/(10000*1000000000)</f>
        <v>507.85633335906863</v>
      </c>
      <c r="HH106" s="218">
        <f t="shared" si="199"/>
        <v>21.657912020826188</v>
      </c>
      <c r="HI106" s="218">
        <f t="shared" si="200"/>
        <v>0.32698311016901016</v>
      </c>
      <c r="HJ106" s="218">
        <f t="shared" si="201"/>
        <v>-27.656000805809185</v>
      </c>
      <c r="HK106" s="218">
        <f ca="1">SUM(HJ106:INDIRECT(ADDRESS(MAX(CELL("row",HJ106)-intermediates!$B$83,69),CELL("col",HJ106))))/intermediates!$B$83+SUM(HH106:INDIRECT(ADDRESS(MAX(CELL("row",HH106)-intermediates!$B$84,69),CELL("col",HH106))))/intermediates!$B$84+SUM(HI106:INDIRECT(ADDRESS(MAX(CELL("row",HI106)-intermediates!$B$85,69),CELL("col",HI106))))/intermediates!$B$85</f>
        <v>-23.033805144767285</v>
      </c>
      <c r="HL106" s="218">
        <f t="shared" ca="1" si="163"/>
        <v>-412.06753536507279</v>
      </c>
      <c r="HM106" s="188">
        <f t="shared" si="202"/>
        <v>2050</v>
      </c>
      <c r="HQ106" s="185">
        <f t="shared" si="203"/>
        <v>1102.867490932834</v>
      </c>
      <c r="HR106" s="185">
        <f t="shared" si="204"/>
        <v>662.93750522937842</v>
      </c>
      <c r="HS106" s="185">
        <f t="shared" si="205"/>
        <v>516.97158314146668</v>
      </c>
      <c r="HT106" s="185">
        <f t="shared" si="206"/>
        <v>545.41663913070067</v>
      </c>
      <c r="HU106" s="185">
        <f t="shared" si="207"/>
        <v>414.14574544674377</v>
      </c>
      <c r="HV106" s="185">
        <f t="shared" si="208"/>
        <v>378.89846246107766</v>
      </c>
      <c r="HW106" s="185">
        <f t="shared" si="209"/>
        <v>694.40742145613683</v>
      </c>
      <c r="HX106" s="185">
        <f t="shared" si="210"/>
        <v>24.027091817821997</v>
      </c>
      <c r="HY106" s="185">
        <f t="shared" si="211"/>
        <v>412.30440445575118</v>
      </c>
      <c r="HZ106" s="185">
        <f t="shared" si="140"/>
        <v>4315.6448477983377</v>
      </c>
      <c r="IA106" s="185">
        <f>HZ106+HX106+HY106</f>
        <v>4751.9763440719107</v>
      </c>
      <c r="IB106" s="185">
        <f t="shared" si="212"/>
        <v>2416.4704700410921</v>
      </c>
      <c r="IC106" s="185">
        <f t="shared" si="175"/>
        <v>4789.0166996974949</v>
      </c>
      <c r="ID106" s="185">
        <f t="shared" si="213"/>
        <v>3897.3721125565926</v>
      </c>
      <c r="IE106" s="184">
        <f t="shared" si="142"/>
        <v>-0.12145923925869</v>
      </c>
      <c r="IF106" s="184">
        <f t="shared" si="143"/>
        <v>-9.5039309965417994E-3</v>
      </c>
    </row>
    <row r="107" spans="1:240" x14ac:dyDescent="0.3">
      <c r="A107" s="211">
        <v>2051</v>
      </c>
      <c r="E107" s="207">
        <v>8914275.9229999892</v>
      </c>
      <c r="F107" s="207">
        <v>9782061.7579999994</v>
      </c>
      <c r="G107" s="207">
        <v>10679735.296</v>
      </c>
      <c r="I107" s="207">
        <f t="shared" si="164"/>
        <v>8914275922.9999886</v>
      </c>
      <c r="J107" s="207">
        <f t="shared" si="164"/>
        <v>9782061758</v>
      </c>
      <c r="K107" s="207">
        <f t="shared" si="164"/>
        <v>10679735296</v>
      </c>
      <c r="L107" s="187">
        <f>IF(intermediates!$B$4&gt;=2,(intermediates!$B$4-2)*K107+(1-(intermediates!$B$4-2))*J107,(intermediates!$B$4-1)*J107+(1-(intermediates!$B$4-1))*I107)</f>
        <v>10113536201.462666</v>
      </c>
      <c r="AJ107" s="184">
        <f>IF(intermediates!$B$46=0,$AJ$74+(intermediates!$B$15-$AJ$74)*MIN(1,(data!A107-data!$A$74)/(intermediates!$B$32-data!$A$74)),IF(A107&lt;2021,$AJ$74+(intermediates!$B$15-$AJ$74)*MIN(1,(data!A107-data!$A$74)/(intermediates!$B$32-data!$A$74)),intermediates!$B$47+(intermediates!$B$15-intermediates!$B$47)*MIN(1,(data!A107-$A$77)/(intermediates!$B$32-$A$77))))</f>
        <v>25133.554009086787</v>
      </c>
      <c r="AK107" s="192">
        <f t="shared" si="146"/>
        <v>25133.554009086787</v>
      </c>
      <c r="AL107" s="192">
        <f t="shared" si="185"/>
        <v>254189108342316.34</v>
      </c>
      <c r="AM107" s="192">
        <f>data!AL107/(1000000*conversions!$C$1)</f>
        <v>21787.637857912832</v>
      </c>
      <c r="AN107" s="192">
        <f>IF(intermediates!$B$13=1,($AJ$74+(27400-$AJ$74)*MIN(1,(data!A107-data!$A$74)/(intermediates!$B$32-data!$A$74)))*L107/(1000000*conversions!$C$1),data!AM107)</f>
        <v>21787.637857912832</v>
      </c>
      <c r="AV107" s="214">
        <f>IF(A107&lt;intermediates!$B$29,0,IF(A107&lt;intermediates!$B$31,(data!A107-intermediates!$B$29)*intermediates!$B$26/(intermediates!$B$31-intermediates!$B$29),intermediates!$B$26))</f>
        <v>10</v>
      </c>
      <c r="AW107" s="212">
        <f>MIN(AW106+intermediates!$B$16,intermediates!$B$17*data!$AW$74)</f>
        <v>1727.6035124118227</v>
      </c>
      <c r="AX107" s="212">
        <f>AV107*1000/conversions!$C$16/intermediates!$B$40</f>
        <v>8187.0584968062822</v>
      </c>
      <c r="AY107" s="212">
        <f>AX107*(1-intermediates!$B$39)*intermediates!$B$28/(conversions!$C$2)</f>
        <v>2143.0300372958864</v>
      </c>
      <c r="AZ107" s="213">
        <f>IF(A107&lt;intermediates!$B$29,0,MIN(intermediates!$B$25,intermediates!$B$25*(A107-intermediates!$B$29)/(intermediates!$B$31-intermediates!$B$29)))</f>
        <v>0</v>
      </c>
      <c r="BA107" s="212">
        <f>IF(A107&lt;intermediates!$B$29,data!$BA$74,IF(intermediates!$B$23&gt;data!$BA$74,MIN(intermediates!$B$23,data!$BA$74+(intermediates!$B$23-data!$BA$74)*((data!A107-intermediates!$B$29)/(intermediates!$B$31-intermediates!$B$29))),MAX(intermediates!$B$23,data!$BA$74+(intermediates!$B$23-data!$BA$74)*((data!A107-intermediates!$B$29)/(intermediates!$B$31-intermediates!$B$29)))))</f>
        <v>0.08</v>
      </c>
      <c r="BB107" s="212">
        <f t="shared" ref="BB107:BB138" si="214">BA107*AM107</f>
        <v>1743.0110286330266</v>
      </c>
      <c r="BC107" s="212">
        <f t="shared" si="166"/>
        <v>1743.0110286330266</v>
      </c>
      <c r="BD107" s="212">
        <f t="shared" si="167"/>
        <v>0</v>
      </c>
      <c r="BE107" s="214">
        <f>MAX(0,MIN(1,(data!A107-intermediates!$B$29)/(intermediates!$B$31-intermediates!$B$29)))*((intermediates!$B$38*L107)-$BE$69*1000000000)/1000000000+$BE$69</f>
        <v>1264.1920251828333</v>
      </c>
      <c r="BF107" s="214">
        <f t="shared" si="99"/>
        <v>1264.1920251828333</v>
      </c>
      <c r="BG107" s="214">
        <f t="shared" si="168"/>
        <v>0</v>
      </c>
      <c r="BH107" s="214">
        <f>BD107*conversions!$C$2/conversions!$C$17+BG107*conversions!$C$6/conversions!$C$10</f>
        <v>0</v>
      </c>
      <c r="BI107" s="214">
        <f>BH107*intermediates!$B$41*conversions!$C$11/(conversions!$C$2*conversions!$C$6*intermediates!$B$42)</f>
        <v>0</v>
      </c>
      <c r="BJ107" s="214">
        <f>BH107*intermediates!$B$43/(conversions!$C$1*intermediates!$B$42)</f>
        <v>0</v>
      </c>
      <c r="BK107" s="214">
        <f t="shared" ref="BK107:BK138" si="215">BI107+BJ107</f>
        <v>0</v>
      </c>
      <c r="BL107" s="214">
        <f t="shared" ref="BL107:BL138" si="216">BK107+AM107</f>
        <v>21787.637857912832</v>
      </c>
      <c r="BM107" s="214">
        <f t="shared" ref="BM107:BM138" si="217">BL107-(AW107+AY107+BB107)</f>
        <v>16173.993279572096</v>
      </c>
      <c r="BN107" s="214">
        <f>IF(A107&lt;intermediates!$B$29,MIN(BO106+intermediates!$B$33*AN106),MIN(BO106*intermediates!$B$35,BO106+intermediates!$B$37*AN106))</f>
        <v>15354.15991749342</v>
      </c>
      <c r="BO107" s="212">
        <f>IF(A107&lt;intermediates!$B$29,MIN(BM107,BO106+intermediates!$B$33*AN106),MIN(BM107,BO106*intermediates!$B$35,BO106+intermediates!$B$37*AN106))</f>
        <v>15354.15991749342</v>
      </c>
      <c r="BP107" s="214">
        <f t="shared" ref="BP107:BP138" si="218">BN107-BO107</f>
        <v>0</v>
      </c>
      <c r="BQ107" s="214">
        <f t="shared" ref="BQ107:BQ138" si="219">BL107-(AW107+BO107+AY107+BB107)</f>
        <v>819.83336207867251</v>
      </c>
      <c r="BR107" s="212" t="str">
        <f t="shared" si="186"/>
        <v/>
      </c>
      <c r="BS107" s="212">
        <f>BP107*conversions!$C$1*intermediates!$B$42/intermediates!$B$43</f>
        <v>0</v>
      </c>
      <c r="BT107" s="214">
        <f>MIN(BT106+BS107,intermediates!$B$27*1000)</f>
        <v>0</v>
      </c>
      <c r="BU107" s="219" t="str">
        <f>IF(AND(BT107=intermediates!$B$27*1000,BT106&lt;&gt;intermediates!$B$27*1000),A107,"")</f>
        <v/>
      </c>
      <c r="BV107" s="212">
        <f>BT107*intermediates!$B$43/(conversions!$C$1*intermediates!$B$42)</f>
        <v>0</v>
      </c>
      <c r="BW107" s="214">
        <f t="shared" ref="BW107:BW138" si="220">BV107+BL107</f>
        <v>21787.637857912832</v>
      </c>
      <c r="BX107" s="214">
        <f t="shared" ref="BX107:BX138" si="221">BV107+BO107</f>
        <v>15354.15991749342</v>
      </c>
      <c r="BY107" s="227">
        <f>IF(OR(BQ107&gt;0,BT107&lt;&gt;intermediates!$B$27*1000),MAX(0,(BX107-BX106)/AM106),0.000000000001)</f>
        <v>2.9986327406272422E-2</v>
      </c>
      <c r="BZ107" s="322">
        <f>BH107*intermediates!$B$49*1000000</f>
        <v>0</v>
      </c>
      <c r="CA107" s="322">
        <f>BI107*conversions!$C$1*1000000*intermediates!$B$50</f>
        <v>0</v>
      </c>
      <c r="CB107" s="322">
        <f>BT107*1000000*intermediates!$B$49</f>
        <v>0</v>
      </c>
      <c r="CC107" s="214">
        <f>BW107*conversions!$C$1*1000000/L107</f>
        <v>25133.554009086787</v>
      </c>
      <c r="CD107" s="173">
        <f t="shared" si="189"/>
        <v>2051</v>
      </c>
      <c r="CE107" s="173"/>
      <c r="CF107" s="173"/>
      <c r="CG107" s="173"/>
      <c r="CH107" s="173"/>
      <c r="CI107" s="173">
        <f t="shared" ref="CI107:CI138" si="222">BQ107</f>
        <v>819.83336207867251</v>
      </c>
      <c r="CJ107" s="173">
        <f t="shared" ref="CJ107:CJ138" si="223">AW107</f>
        <v>1727.6035124118227</v>
      </c>
      <c r="CK107" s="173">
        <f t="shared" ref="CK107:CK138" si="224">BB107</f>
        <v>1743.0110286330266</v>
      </c>
      <c r="CL107" s="173">
        <f t="shared" ref="CL107:CL138" si="225">AY107</f>
        <v>2143.0300372958864</v>
      </c>
      <c r="CM107" s="173"/>
      <c r="CN107" s="173"/>
      <c r="CO107" s="329">
        <f t="shared" si="169"/>
        <v>15354.15991749342</v>
      </c>
      <c r="CP107" s="174">
        <f t="shared" ref="CP107:CP138" si="226">BQ107*$AF$5/1000</f>
        <v>2.8189582268158802</v>
      </c>
      <c r="CQ107" s="228">
        <f t="shared" ref="CQ107:CQ138" si="227">AV107+BT107/1000</f>
        <v>10</v>
      </c>
      <c r="CR107" s="228">
        <f t="shared" si="170"/>
        <v>155</v>
      </c>
      <c r="CS107" s="214">
        <f t="shared" ref="CS107:CS138" ca="1" si="228">CP107-(CQ107+HK107)</f>
        <v>15.268862008842166</v>
      </c>
      <c r="CT107" s="190">
        <f t="shared" ref="CT107:CT138" ca="1" si="229">1000000000*CS107/L107</f>
        <v>1.5097451281811711</v>
      </c>
      <c r="CU107" s="190">
        <f t="shared" ca="1" si="187"/>
        <v>15.268862008842166</v>
      </c>
      <c r="CV107" s="198">
        <f t="shared" si="174"/>
        <v>3202.6808390376477</v>
      </c>
      <c r="CW107" s="198">
        <f t="shared" ca="1" si="171"/>
        <v>3638.7772808676382</v>
      </c>
      <c r="CX107" s="198">
        <f t="shared" ref="CX107:CX138" ca="1" si="230">CX106+CS107</f>
        <v>3482.1982781847482</v>
      </c>
      <c r="CY107" s="198">
        <f t="shared" ca="1" si="173"/>
        <v>-156.57900268288981</v>
      </c>
      <c r="CZ107" s="199">
        <f ca="1">IF(CX107&lt;intermediates!$B$55,intermediates!$B$56+(CX107-intermediates!$B$55)*intermediates!$B$53,intermediates!$B$56+(data!CX107-intermediates!$B$55)*intermediates!$B$58)</f>
        <v>1.8627101271093112</v>
      </c>
      <c r="DG107" s="201">
        <f>IF(A107&gt;MAX(intermediates!B$31,intermediates!$B$32),DG106,DG106+intermediates!$B$60*DG$73)</f>
        <v>18110019532500</v>
      </c>
      <c r="DH107" s="201">
        <f>IF(A107&gt;MAX(intermediates!B$31,intermediates!$B$32),DH106,DH106+intermediates!$B$61*DH$73)</f>
        <v>30014700708750</v>
      </c>
      <c r="DI107" s="201">
        <f>IF(A107&gt;MAX(intermediates!B$31,intermediates!$B$32),DI106,DI106+intermediates!$B$62*DI$73)</f>
        <v>39143321582000</v>
      </c>
      <c r="DJ107" s="221"/>
      <c r="EE107" s="218"/>
      <c r="EF107" s="212">
        <f>$EF$69+intermediates!$B$90*(A107-2013)*intermediates!$B$92+intermediates!$B$91*intermediates!$B$92*(A107-2013)^2</f>
        <v>3032.929508549219</v>
      </c>
      <c r="EH107" s="212">
        <f>IF(A107&lt;intermediates!$B$29,data!EH106,IF(A107&lt;intermediates!$B$31,data!$EH$69+(intermediates!$B$93-data!$EH$69)*(data!A107-intermediates!$B$29)/(intermediates!$B$31-intermediates!$B$29),intermediates!$B$93))</f>
        <v>2.522212345090466E-2</v>
      </c>
      <c r="EI107" s="212">
        <f t="shared" si="128"/>
        <v>2.522212345090466E-2</v>
      </c>
      <c r="EN107" s="218"/>
      <c r="EO107" s="212">
        <f t="shared" si="129"/>
        <v>2956.4325860666991</v>
      </c>
      <c r="EQ107" s="212">
        <f t="shared" si="130"/>
        <v>76.496922482519949</v>
      </c>
      <c r="ET107" s="214">
        <f>IF(A107&lt;intermediates!$B$29,ET106+intermediates!$B$63,ET106+intermediates!$B$63*intermediates!$B$67)</f>
        <v>1164.8239596090564</v>
      </c>
      <c r="EU107" s="215">
        <f t="shared" si="131"/>
        <v>1164.8239596090564</v>
      </c>
      <c r="EV107" s="216">
        <f>data!EU107*conversions!$C$13</f>
        <v>1.3546902650253325</v>
      </c>
      <c r="EX107" s="212">
        <f>intermediates!$B$64+intermediates!$B$64*(EXP(-(data!A107-intermediates!$B$66)/intermediates!$B$65)-1)</f>
        <v>1.0765702987551534E-2</v>
      </c>
      <c r="EY107" s="217">
        <f>IF(A107&lt;intermediates!$B$29,data!EX107,data!EY106+(data!EX107-data!EX106)*intermediates!$B$68)</f>
        <v>1.0765702987551534E-2</v>
      </c>
      <c r="EZ107" s="217">
        <f t="shared" si="132"/>
        <v>1.0765702987551534E-2</v>
      </c>
      <c r="FB107" s="212">
        <f>intermediates!$B$94+intermediates!$B$95+(intermediates!$B$95*(EXP(-(data!A107-intermediates!$B$97)/intermediates!$B$96)-1))</f>
        <v>1.6231541140785413</v>
      </c>
      <c r="FC107" s="217">
        <f>IF(A107&lt;intermediates!$B$29,data!FB107,data!FC106+(data!FB107-data!FB106)*intermediates!$B$68)</f>
        <v>1.6231541140785413</v>
      </c>
      <c r="FD107" s="212">
        <f t="shared" si="133"/>
        <v>1.6231541140785413</v>
      </c>
      <c r="FF107" s="184">
        <f>intermediates!$B$98+intermediates!$B$99*EXP(-(A107-intermediates!$B$101)/intermediates!$B$100)</f>
        <v>0.88883550561047875</v>
      </c>
      <c r="FG107" s="184">
        <f t="shared" si="101"/>
        <v>0.88883550561047875</v>
      </c>
      <c r="FI107" s="184">
        <f>intermediates!$B$102+intermediates!$B$103*EXP(-(A107-intermediates!$B$105)/intermediates!$B$104)</f>
        <v>1.7472776476223147E-2</v>
      </c>
      <c r="FJ107" s="184">
        <f t="shared" si="134"/>
        <v>1.7472776476223147E-2</v>
      </c>
      <c r="FL107" s="184">
        <f>intermediates!$B$106</f>
        <v>4.5616870531049965E-2</v>
      </c>
      <c r="FM107" s="184">
        <f t="shared" si="135"/>
        <v>4.5616870531049965E-2</v>
      </c>
      <c r="FN107" s="218">
        <f>IF(A107&lt;intermediates!$B$29,0,IF(A107&lt;intermediates!$B$31,(data!A107-intermediates!$B$29)/(intermediates!$B$31-intermediates!$B$29),1))</f>
        <v>1</v>
      </c>
      <c r="FO107" s="218">
        <f t="shared" si="176"/>
        <v>282383854112018.81</v>
      </c>
      <c r="FP107" s="218">
        <f t="shared" si="177"/>
        <v>317700915782014.31</v>
      </c>
      <c r="FQ107" s="218">
        <f t="shared" si="178"/>
        <v>3420273698182.2896</v>
      </c>
      <c r="FR107" s="218">
        <f t="shared" si="179"/>
        <v>515677548498096.69</v>
      </c>
      <c r="FS107" s="218">
        <f t="shared" si="180"/>
        <v>442708569173.98126</v>
      </c>
      <c r="FT107" s="218">
        <f>intermediates!$B$69*data!EU107/intermediates!$B$71</f>
        <v>2.9648657790911486</v>
      </c>
      <c r="FU107" s="218">
        <f>BC107*conversions!$C$1*1000000</f>
        <v>20335128667385.309</v>
      </c>
      <c r="FV107" s="218">
        <f t="shared" si="184"/>
        <v>6858701264250.4336</v>
      </c>
      <c r="FX107" s="221"/>
      <c r="FY107" s="221"/>
      <c r="FZ107" s="221"/>
      <c r="GA107" s="218">
        <f t="shared" si="190"/>
        <v>1264.1920251828333</v>
      </c>
      <c r="GB107" s="218">
        <f>GA107*1000000*10000*intermediates!$B$71/(intermediates!$B$72*data!EU107)</f>
        <v>5329887250285.4033</v>
      </c>
      <c r="GC107" s="218">
        <f t="shared" si="181"/>
        <v>9369223155993.1914</v>
      </c>
      <c r="GD107" s="218">
        <f t="shared" si="144"/>
        <v>22000520239703.008</v>
      </c>
      <c r="GE107" s="218">
        <f t="shared" si="182"/>
        <v>23481990746956.551</v>
      </c>
      <c r="GF107" s="218">
        <f t="shared" si="183"/>
        <v>410295575538.31201</v>
      </c>
      <c r="GG107" s="218">
        <f t="shared" si="136"/>
        <v>1071174931715.2302</v>
      </c>
      <c r="GH107" s="218">
        <f t="shared" si="191"/>
        <v>9611649362788.2461</v>
      </c>
      <c r="GI107" s="218">
        <f t="shared" si="145"/>
        <v>200282362378.92578</v>
      </c>
      <c r="GJ107" s="218">
        <f>ET107*intermediates!$B$73/intermediates!$B$71</f>
        <v>4.4472986686367237</v>
      </c>
      <c r="GK107" s="218">
        <f>CL107*conversions!$C$1*1000000/data!GJ107</f>
        <v>5621843497515.6426</v>
      </c>
      <c r="GL107" s="218">
        <f>MIN(1,FN107)*(intermediates!$B$75-data!$GL$69)+data!$GL$69</f>
        <v>1</v>
      </c>
      <c r="GM107" s="218">
        <f>GL107*intermediates!$B$74*(FS107+GC107+GK107+GG107+GF107+GB107+FV107)</f>
        <v>4365575136670.8291</v>
      </c>
      <c r="GN107" s="218">
        <f>MIN(1,FN107)*intermediates!$B$76</f>
        <v>0.12</v>
      </c>
      <c r="GO107" s="218">
        <f t="shared" si="137"/>
        <v>4016329125737.1626</v>
      </c>
      <c r="GP107" s="218">
        <f>IF(A107&gt;intermediates!$B$29,MIN(1,(A107-intermediates!$B$29)/(intermediates!$B$31-intermediates!$B$29))*intermediates!$B$77,0)</f>
        <v>0.15</v>
      </c>
      <c r="GQ107" s="218">
        <f>IF(AND(A107&gt;intermediates!$B$29+intermediates!$B$30,data!GP107&lt;intermediates!$B$77),1,0)</f>
        <v>0</v>
      </c>
      <c r="GR107" s="218">
        <f t="shared" si="192"/>
        <v>7218708036187.5</v>
      </c>
      <c r="GS107" s="218">
        <f t="shared" si="193"/>
        <v>48124720241249.977</v>
      </c>
      <c r="GT107" s="218">
        <f t="shared" si="188"/>
        <v>87268041823250</v>
      </c>
      <c r="GU107" s="218">
        <f t="shared" si="194"/>
        <v>46362029618187.5</v>
      </c>
      <c r="GV107" s="218">
        <f t="shared" si="195"/>
        <v>33469409381143.023</v>
      </c>
      <c r="GW107" s="218">
        <f t="shared" si="196"/>
        <v>2.34375E-2</v>
      </c>
      <c r="GX107" s="218">
        <f>MIN(intermediates!$B$88,FN107*intermediates!$B$87*GO107)</f>
        <v>2008164562868.5813</v>
      </c>
      <c r="GY107" s="218">
        <f t="shared" si="197"/>
        <v>2008164562868.5813</v>
      </c>
      <c r="GZ107" s="218">
        <f>MIN(intermediates!$B$88-GX107,intermediates!$B$87*data!GW107*FN107)</f>
        <v>1.171875E-2</v>
      </c>
      <c r="HA107" s="218">
        <f t="shared" si="138"/>
        <v>1.171875E-2</v>
      </c>
      <c r="HB107" s="218">
        <f t="shared" si="139"/>
        <v>2008164562868.593</v>
      </c>
      <c r="HC107" s="218">
        <f t="shared" si="198"/>
        <v>5428438261050.8828</v>
      </c>
      <c r="HD107" s="218">
        <f>HC107*intermediates!$B$79/(10000*1000000000)</f>
        <v>360.30827087257143</v>
      </c>
      <c r="HE107" s="218">
        <f>(GV107*intermediates!$B$80+GV107*GL107*intermediates!$B$82)/(10000*1000000000)</f>
        <v>1247.8448230929121</v>
      </c>
      <c r="HF107" s="218">
        <f>GU107*intermediates!$B$78/(10000*1000000000)</f>
        <v>4668.6263598889309</v>
      </c>
      <c r="HG107" s="218">
        <f>HB107*intermediates!$B$81/(10000*1000000000)</f>
        <v>504.77929158235429</v>
      </c>
      <c r="HH107" s="218">
        <f t="shared" si="199"/>
        <v>21.653384233673933</v>
      </c>
      <c r="HI107" s="218">
        <f t="shared" si="200"/>
        <v>0</v>
      </c>
      <c r="HJ107" s="218">
        <f t="shared" si="201"/>
        <v>-29.587799810313413</v>
      </c>
      <c r="HK107" s="218">
        <f ca="1">SUM(HJ107:INDIRECT(ADDRESS(MAX(CELL("row",HJ107)-intermediates!$B$83,69),CELL("col",HJ107))))/intermediates!$B$83+SUM(HH107:INDIRECT(ADDRESS(MAX(CELL("row",HH107)-intermediates!$B$84,69),CELL("col",HH107))))/intermediates!$B$84+SUM(HI107:INDIRECT(ADDRESS(MAX(CELL("row",HI107)-intermediates!$B$85,69),CELL("col",HI107))))/intermediates!$B$85</f>
        <v>-22.449903782026286</v>
      </c>
      <c r="HL107" s="218">
        <f t="shared" ca="1" si="163"/>
        <v>-434.51743914709908</v>
      </c>
      <c r="HM107" s="188">
        <f t="shared" si="202"/>
        <v>2051</v>
      </c>
      <c r="HQ107" s="185">
        <f t="shared" si="203"/>
        <v>1096.8586703073699</v>
      </c>
      <c r="HR107" s="185">
        <f t="shared" si="204"/>
        <v>678.17043689016475</v>
      </c>
      <c r="HS107" s="185">
        <f t="shared" si="205"/>
        <v>527.00530695826956</v>
      </c>
      <c r="HT107" s="185">
        <f t="shared" si="206"/>
        <v>555.87317685208723</v>
      </c>
      <c r="HU107" s="185">
        <f t="shared" si="207"/>
        <v>431.65664805149555</v>
      </c>
      <c r="HV107" s="185">
        <f t="shared" si="208"/>
        <v>397.12411620737589</v>
      </c>
      <c r="HW107" s="185">
        <f t="shared" si="209"/>
        <v>713.76696462939424</v>
      </c>
      <c r="HX107" s="185">
        <f t="shared" si="210"/>
        <v>19.80339600207888</v>
      </c>
      <c r="HY107" s="185">
        <f t="shared" si="211"/>
        <v>338.18771496438939</v>
      </c>
      <c r="HZ107" s="185">
        <f t="shared" si="140"/>
        <v>4400.4553198961576</v>
      </c>
      <c r="IA107" s="185">
        <f t="shared" si="141"/>
        <v>4758.4464308626257</v>
      </c>
      <c r="IB107" s="185">
        <f t="shared" si="212"/>
        <v>2426.3084557677294</v>
      </c>
      <c r="IC107" s="185">
        <f t="shared" si="175"/>
        <v>4758.4464308626275</v>
      </c>
      <c r="ID107" s="185">
        <f t="shared" si="213"/>
        <v>3870.3892290748822</v>
      </c>
      <c r="IE107" s="184">
        <f t="shared" si="142"/>
        <v>-9.2494860278442476E-2</v>
      </c>
      <c r="IF107" s="184">
        <f t="shared" si="143"/>
        <v>-4.6997583340749411E-16</v>
      </c>
    </row>
    <row r="108" spans="1:240" x14ac:dyDescent="0.3">
      <c r="A108" s="211">
        <v>2052</v>
      </c>
      <c r="E108" s="207">
        <v>8919503.1999999993</v>
      </c>
      <c r="F108" s="207">
        <v>9827885.4409999996</v>
      </c>
      <c r="G108" s="207">
        <v>10772228.298</v>
      </c>
      <c r="I108" s="207">
        <f t="shared" si="164"/>
        <v>8919503200</v>
      </c>
      <c r="J108" s="207">
        <f t="shared" si="164"/>
        <v>9827885441</v>
      </c>
      <c r="K108" s="207">
        <f t="shared" si="164"/>
        <v>10772228298</v>
      </c>
      <c r="L108" s="187">
        <f>IF(intermediates!$B$4&gt;=2,(intermediates!$B$4-2)*K108+(1-(intermediates!$B$4-2))*J108,(intermediates!$B$4-1)*J108+(1-(intermediates!$B$4-1))*I108)</f>
        <v>10176592971.868553</v>
      </c>
      <c r="AJ108" s="184">
        <f>IF(intermediates!$B$46=0,$AJ$74+(intermediates!$B$15-$AJ$74)*MIN(1,(data!A108-data!$A$74)/(intermediates!$B$32-data!$A$74)),IF(A108&lt;2021,$AJ$74+(intermediates!$B$15-$AJ$74)*MIN(1,(data!A108-data!$A$74)/(intermediates!$B$32-data!$A$74)),intermediates!$B$47+(intermediates!$B$15-intermediates!$B$47)*MIN(1,(data!A108-$A$77)/(intermediates!$B$32-$A$77))))</f>
        <v>25252.840640187482</v>
      </c>
      <c r="AK108" s="192">
        <f t="shared" si="146"/>
        <v>25252.840640187482</v>
      </c>
      <c r="AL108" s="192">
        <f t="shared" si="185"/>
        <v>256987880578648.5</v>
      </c>
      <c r="AM108" s="192">
        <f>data!AL108/(1000000*conversions!$C$1)</f>
        <v>22027.532621027014</v>
      </c>
      <c r="AN108" s="192">
        <f>IF(intermediates!$B$13=1,($AJ$74+(27400-$AJ$74)*MIN(1,(data!A108-data!$A$74)/(intermediates!$B$32-data!$A$74)))*L108/(1000000*conversions!$C$1),data!AM108)</f>
        <v>22027.532621027014</v>
      </c>
      <c r="AV108" s="214">
        <f>IF(A108&lt;intermediates!$B$29,0,IF(A108&lt;intermediates!$B$31,(data!A108-intermediates!$B$29)*intermediates!$B$26/(intermediates!$B$31-intermediates!$B$29),intermediates!$B$26))</f>
        <v>10</v>
      </c>
      <c r="AW108" s="212">
        <f>MIN(AW107+intermediates!$B$16,intermediates!$B$17*data!$AW$74)</f>
        <v>1751.203773599032</v>
      </c>
      <c r="AX108" s="212">
        <f>AV108*1000/conversions!$C$16/intermediates!$B$40</f>
        <v>8187.0584968062822</v>
      </c>
      <c r="AY108" s="212">
        <f>AX108*(1-intermediates!$B$39)*intermediates!$B$28/(conversions!$C$2)</f>
        <v>2143.0300372958864</v>
      </c>
      <c r="AZ108" s="213">
        <f>IF(A108&lt;intermediates!$B$29,0,MIN(intermediates!$B$25,intermediates!$B$25*(A108-intermediates!$B$29)/(intermediates!$B$31-intermediates!$B$29)))</f>
        <v>0</v>
      </c>
      <c r="BA108" s="212">
        <f>IF(A108&lt;intermediates!$B$29,data!$BA$74,IF(intermediates!$B$23&gt;data!$BA$74,MIN(intermediates!$B$23,data!$BA$74+(intermediates!$B$23-data!$BA$74)*((data!A108-intermediates!$B$29)/(intermediates!$B$31-intermediates!$B$29))),MAX(intermediates!$B$23,data!$BA$74+(intermediates!$B$23-data!$BA$74)*((data!A108-intermediates!$B$29)/(intermediates!$B$31-intermediates!$B$29)))))</f>
        <v>0.08</v>
      </c>
      <c r="BB108" s="212">
        <f t="shared" si="214"/>
        <v>1762.2026096821612</v>
      </c>
      <c r="BC108" s="212">
        <f t="shared" si="166"/>
        <v>1762.2026096821612</v>
      </c>
      <c r="BD108" s="212">
        <f t="shared" si="167"/>
        <v>0</v>
      </c>
      <c r="BE108" s="214">
        <f>MAX(0,MIN(1,(data!A108-intermediates!$B$29)/(intermediates!$B$31-intermediates!$B$29)))*((intermediates!$B$38*L108)-$BE$69*1000000000)/1000000000+$BE$69</f>
        <v>1272.0741214835691</v>
      </c>
      <c r="BF108" s="214">
        <f t="shared" si="99"/>
        <v>1272.0741214835691</v>
      </c>
      <c r="BG108" s="214">
        <f t="shared" si="168"/>
        <v>0</v>
      </c>
      <c r="BH108" s="214">
        <f>BD108*conversions!$C$2/conversions!$C$17+BG108*conversions!$C$6/conversions!$C$10</f>
        <v>0</v>
      </c>
      <c r="BI108" s="214">
        <f>BH108*intermediates!$B$41*conversions!$C$11/(conversions!$C$2*conversions!$C$6*intermediates!$B$42)</f>
        <v>0</v>
      </c>
      <c r="BJ108" s="214">
        <f>BH108*intermediates!$B$43/(conversions!$C$1*intermediates!$B$42)</f>
        <v>0</v>
      </c>
      <c r="BK108" s="214">
        <f t="shared" si="215"/>
        <v>0</v>
      </c>
      <c r="BL108" s="214">
        <f t="shared" si="216"/>
        <v>22027.532621027014</v>
      </c>
      <c r="BM108" s="214">
        <f t="shared" si="217"/>
        <v>16371.096200449934</v>
      </c>
      <c r="BN108" s="214">
        <f>IF(A108&lt;intermediates!$B$29,MIN(BO107+intermediates!$B$33*AN107),MIN(BO107*intermediates!$B$35,BO107+intermediates!$B$37*AN107))</f>
        <v>16007.491159710089</v>
      </c>
      <c r="BO108" s="212">
        <f>IF(A108&lt;intermediates!$B$29,MIN(BM108,BO107+intermediates!$B$33*AN107),MIN(BM108,BO107*intermediates!$B$35,BO107+intermediates!$B$37*AN107))</f>
        <v>16007.491159710089</v>
      </c>
      <c r="BP108" s="214">
        <f t="shared" si="218"/>
        <v>0</v>
      </c>
      <c r="BQ108" s="214">
        <f t="shared" si="219"/>
        <v>363.60504073984703</v>
      </c>
      <c r="BR108" s="212">
        <f t="shared" si="186"/>
        <v>2053</v>
      </c>
      <c r="BS108" s="212">
        <f>BP108*conversions!$C$1*intermediates!$B$42/intermediates!$B$43</f>
        <v>0</v>
      </c>
      <c r="BT108" s="214">
        <f>MIN(BT107+BS108,intermediates!$B$27*1000)</f>
        <v>0</v>
      </c>
      <c r="BU108" s="219" t="str">
        <f>IF(AND(BT108=intermediates!$B$27*1000,BT107&lt;&gt;intermediates!$B$27*1000),A108,"")</f>
        <v/>
      </c>
      <c r="BV108" s="212">
        <f>BT108*intermediates!$B$43/(conversions!$C$1*intermediates!$B$42)</f>
        <v>0</v>
      </c>
      <c r="BW108" s="214">
        <f t="shared" si="220"/>
        <v>22027.532621027014</v>
      </c>
      <c r="BX108" s="214">
        <f t="shared" si="221"/>
        <v>16007.491159710089</v>
      </c>
      <c r="BY108" s="227">
        <f>IF(OR(BQ108&gt;0,BT108&lt;&gt;intermediates!$B$27*1000),MAX(0,(BX108-BX107)/AM107),0.000000000001)</f>
        <v>2.9986327406272377E-2</v>
      </c>
      <c r="BZ108" s="322">
        <f>BH108*intermediates!$B$49*1000000</f>
        <v>0</v>
      </c>
      <c r="CA108" s="322">
        <f>BI108*conversions!$C$1*1000000*intermediates!$B$50</f>
        <v>0</v>
      </c>
      <c r="CB108" s="322">
        <f>BT108*1000000*intermediates!$B$49</f>
        <v>0</v>
      </c>
      <c r="CC108" s="214">
        <f>BW108*conversions!$C$1*1000000/L108</f>
        <v>25252.840640187478</v>
      </c>
      <c r="CD108" s="173">
        <f t="shared" si="189"/>
        <v>2052</v>
      </c>
      <c r="CE108" s="173"/>
      <c r="CF108" s="173"/>
      <c r="CG108" s="173"/>
      <c r="CH108" s="173"/>
      <c r="CI108" s="173">
        <f t="shared" si="222"/>
        <v>363.60504073984703</v>
      </c>
      <c r="CJ108" s="173">
        <f t="shared" si="223"/>
        <v>1751.203773599032</v>
      </c>
      <c r="CK108" s="173">
        <f t="shared" si="224"/>
        <v>1762.2026096821612</v>
      </c>
      <c r="CL108" s="173">
        <f t="shared" si="225"/>
        <v>2143.0300372958864</v>
      </c>
      <c r="CM108" s="173"/>
      <c r="CN108" s="173"/>
      <c r="CO108" s="329">
        <f t="shared" si="169"/>
        <v>16007.491159710089</v>
      </c>
      <c r="CP108" s="174">
        <f t="shared" si="226"/>
        <v>1.2502387293760262</v>
      </c>
      <c r="CQ108" s="228">
        <f t="shared" si="227"/>
        <v>10</v>
      </c>
      <c r="CR108" s="228">
        <f t="shared" si="170"/>
        <v>165</v>
      </c>
      <c r="CS108" s="214">
        <f t="shared" ca="1" si="228"/>
        <v>12.206297002991189</v>
      </c>
      <c r="CT108" s="190">
        <f t="shared" ca="1" si="229"/>
        <v>1.1994482865467258</v>
      </c>
      <c r="CU108" s="190">
        <f t="shared" ca="1" si="187"/>
        <v>12.206297002991189</v>
      </c>
      <c r="CV108" s="198">
        <f t="shared" si="174"/>
        <v>3203.9310777670239</v>
      </c>
      <c r="CW108" s="198">
        <f t="shared" ca="1" si="171"/>
        <v>3660.9835778706297</v>
      </c>
      <c r="CX108" s="198">
        <f t="shared" ca="1" si="230"/>
        <v>3494.4045751877393</v>
      </c>
      <c r="CY108" s="198">
        <f t="shared" ca="1" si="173"/>
        <v>-166.57900268288981</v>
      </c>
      <c r="CZ108" s="199">
        <f ca="1">IF(CX108&lt;intermediates!$B$55,intermediates!$B$56+(CX108-intermediates!$B$55)*intermediates!$B$53,intermediates!$B$56+(data!CX108-intermediates!$B$55)*intermediates!$B$58)</f>
        <v>1.8693479077296535</v>
      </c>
      <c r="DG108" s="201">
        <f>IF(A108&gt;MAX(intermediates!B$31,intermediates!$B$32),DG107,DG107+intermediates!$B$60*DG$73)</f>
        <v>18183450473750</v>
      </c>
      <c r="DH108" s="201">
        <f>IF(A108&gt;MAX(intermediates!B$31,intermediates!$B$32),DH107,DH107+intermediates!$B$61*DH$73)</f>
        <v>29936773425625</v>
      </c>
      <c r="DI108" s="201">
        <f>IF(A108&gt;MAX(intermediates!B$31,intermediates!$B$32),DI107,DI107+intermediates!$B$62*DI$73)</f>
        <v>39118379975000</v>
      </c>
      <c r="DJ108" s="221"/>
      <c r="EE108" s="218"/>
      <c r="EF108" s="212">
        <f>$EF$69+intermediates!$B$90*(A108-2013)*intermediates!$B$92+intermediates!$B$91*intermediates!$B$92*(A108-2013)^2</f>
        <v>3037.7667985492185</v>
      </c>
      <c r="EH108" s="212">
        <f>IF(A108&lt;intermediates!$B$29,data!EH107,IF(A108&lt;intermediates!$B$31,data!$EH$69+(intermediates!$B$93-data!$EH$69)*(data!A108-intermediates!$B$29)/(intermediates!$B$31-intermediates!$B$29),intermediates!$B$93))</f>
        <v>2.522212345090466E-2</v>
      </c>
      <c r="EI108" s="212">
        <f t="shared" si="128"/>
        <v>2.522212345090466E-2</v>
      </c>
      <c r="EN108" s="218"/>
      <c r="EO108" s="212">
        <f t="shared" si="129"/>
        <v>2961.1478693411505</v>
      </c>
      <c r="EQ108" s="212">
        <f t="shared" si="130"/>
        <v>76.618929208068039</v>
      </c>
      <c r="ET108" s="214">
        <f>IF(A108&lt;intermediates!$B$29,ET107+intermediates!$B$63,ET107+intermediates!$B$63*intermediates!$B$67)</f>
        <v>1174.7995490004992</v>
      </c>
      <c r="EU108" s="215">
        <f t="shared" si="131"/>
        <v>1174.7995490004992</v>
      </c>
      <c r="EV108" s="216">
        <f>data!EU108*conversions!$C$13</f>
        <v>1.3662918754875806</v>
      </c>
      <c r="EX108" s="212">
        <f>intermediates!$B$64+intermediates!$B$64*(EXP(-(data!A108-intermediates!$B$66)/intermediates!$B$65)-1)</f>
        <v>1.0565563331509644E-2</v>
      </c>
      <c r="EY108" s="217">
        <f>IF(A108&lt;intermediates!$B$29,data!EX108,data!EY107+(data!EX108-data!EX107)*intermediates!$B$68)</f>
        <v>1.0565563331509644E-2</v>
      </c>
      <c r="EZ108" s="217">
        <f t="shared" si="132"/>
        <v>1.0565563331509644E-2</v>
      </c>
      <c r="FB108" s="212">
        <f>intermediates!$B$94+intermediates!$B$95+(intermediates!$B$95*(EXP(-(data!A108-intermediates!$B$97)/intermediates!$B$96)-1))</f>
        <v>1.6197956449212889</v>
      </c>
      <c r="FC108" s="217">
        <f>IF(A108&lt;intermediates!$B$29,data!FB108,data!FC107+(data!FB108-data!FB107)*intermediates!$B$68)</f>
        <v>1.6197956449212889</v>
      </c>
      <c r="FD108" s="212">
        <f t="shared" si="133"/>
        <v>1.6197956449212889</v>
      </c>
      <c r="FF108" s="184">
        <f>intermediates!$B$98+intermediates!$B$99*EXP(-(A108-intermediates!$B$101)/intermediates!$B$100)</f>
        <v>0.88929860063001254</v>
      </c>
      <c r="FG108" s="184">
        <f t="shared" si="101"/>
        <v>0.88929860063001254</v>
      </c>
      <c r="FI108" s="184">
        <f>intermediates!$B$102+intermediates!$B$103*EXP(-(A108-intermediates!$B$105)/intermediates!$B$104)</f>
        <v>1.7345050449103838E-2</v>
      </c>
      <c r="FJ108" s="184">
        <f t="shared" si="134"/>
        <v>1.7345050449103838E-2</v>
      </c>
      <c r="FL108" s="184">
        <f>intermediates!$B$106</f>
        <v>4.5616870531049965E-2</v>
      </c>
      <c r="FM108" s="184">
        <f t="shared" si="135"/>
        <v>4.5616870531049965E-2</v>
      </c>
      <c r="FN108" s="218">
        <f>IF(A108&lt;intermediates!$B$29,0,IF(A108&lt;intermediates!$B$31,(data!A108-intermediates!$B$29)/(intermediates!$B$31-intermediates!$B$29),1))</f>
        <v>1</v>
      </c>
      <c r="FO108" s="218">
        <f t="shared" si="176"/>
        <v>284597674619185.56</v>
      </c>
      <c r="FP108" s="218">
        <f t="shared" si="177"/>
        <v>320024876253674.38</v>
      </c>
      <c r="FQ108" s="218">
        <f t="shared" si="178"/>
        <v>3381243097716.7334</v>
      </c>
      <c r="FR108" s="218">
        <f t="shared" si="179"/>
        <v>518374900822176.19</v>
      </c>
      <c r="FS108" s="218">
        <f t="shared" si="180"/>
        <v>441245403322.80627</v>
      </c>
      <c r="FT108" s="218">
        <f>intermediates!$B$69*data!EU108/intermediates!$B$71</f>
        <v>2.9902569838040738</v>
      </c>
      <c r="FU108" s="218">
        <f>BC108*conversions!$C$1*1000000</f>
        <v>20559030446291.879</v>
      </c>
      <c r="FV108" s="218">
        <f t="shared" si="184"/>
        <v>6875338995158.0625</v>
      </c>
      <c r="FX108" s="221"/>
      <c r="FY108" s="221"/>
      <c r="FZ108" s="221"/>
      <c r="GA108" s="218">
        <f t="shared" si="190"/>
        <v>1272.0741214835691</v>
      </c>
      <c r="GB108" s="218">
        <f>GA108*1000000*10000*intermediates!$B$71/(intermediates!$B$72*data!EU108)</f>
        <v>5317578590959.8154</v>
      </c>
      <c r="GC108" s="218">
        <f t="shared" si="181"/>
        <v>9362494875679.0664</v>
      </c>
      <c r="GD108" s="218">
        <f t="shared" si="144"/>
        <v>21996657865119.75</v>
      </c>
      <c r="GE108" s="218">
        <f t="shared" si="182"/>
        <v>23474668060585.684</v>
      </c>
      <c r="GF108" s="218">
        <f t="shared" si="183"/>
        <v>407169301786.82526</v>
      </c>
      <c r="GG108" s="218">
        <f t="shared" si="136"/>
        <v>1070840893679.1108</v>
      </c>
      <c r="GH108" s="218">
        <f t="shared" si="191"/>
        <v>9604746989974.9199</v>
      </c>
      <c r="GI108" s="218">
        <f t="shared" si="145"/>
        <v>198993289026.95313</v>
      </c>
      <c r="GJ108" s="218">
        <f>ET108*intermediates!$B$73/intermediates!$B$71</f>
        <v>4.4853854757061109</v>
      </c>
      <c r="GK108" s="218">
        <f>CL108*conversions!$C$1*1000000/data!GJ108</f>
        <v>5574106670920.9434</v>
      </c>
      <c r="GL108" s="218">
        <f>MIN(1,FN108)*(intermediates!$B$75-data!$GL$69)+data!$GL$69</f>
        <v>1</v>
      </c>
      <c r="GM108" s="218">
        <f>GL108*intermediates!$B$74*(FS108+GC108+GK108+GG108+GF108+GB108+FV108)</f>
        <v>4357316209725.9946</v>
      </c>
      <c r="GN108" s="218">
        <f>MIN(1,FN108)*intermediates!$B$76</f>
        <v>0.12</v>
      </c>
      <c r="GO108" s="218">
        <f t="shared" si="137"/>
        <v>4008730912947.915</v>
      </c>
      <c r="GP108" s="218">
        <f>IF(A108&gt;intermediates!$B$29,MIN(1,(A108-intermediates!$B$29)/(intermediates!$B$31-intermediates!$B$29))*intermediates!$B$77,0)</f>
        <v>0.15</v>
      </c>
      <c r="GQ108" s="218">
        <f>IF(AND(A108&gt;intermediates!$B$29+intermediates!$B$30,data!GP108&lt;intermediates!$B$77),1,0)</f>
        <v>0</v>
      </c>
      <c r="GR108" s="218">
        <f t="shared" si="192"/>
        <v>7218033584906.25</v>
      </c>
      <c r="GS108" s="218">
        <f t="shared" si="193"/>
        <v>48014098536803.516</v>
      </c>
      <c r="GT108" s="218">
        <f t="shared" si="188"/>
        <v>87238603874375</v>
      </c>
      <c r="GU108" s="218">
        <f t="shared" si="194"/>
        <v>46336413559906.25</v>
      </c>
      <c r="GV108" s="218">
        <f t="shared" si="195"/>
        <v>33406090941232.621</v>
      </c>
      <c r="GW108" s="218">
        <f t="shared" si="196"/>
        <v>106125362571.48438</v>
      </c>
      <c r="GX108" s="218">
        <f>MIN(intermediates!$B$88,FN108*intermediates!$B$87*GO108)</f>
        <v>2004365456473.9575</v>
      </c>
      <c r="GY108" s="218">
        <f t="shared" si="197"/>
        <v>2004365456473.9575</v>
      </c>
      <c r="GZ108" s="218">
        <f>MIN(intermediates!$B$88-GX108,intermediates!$B$87*data!GW108*FN108)</f>
        <v>53062681285.742188</v>
      </c>
      <c r="HA108" s="218">
        <f t="shared" si="138"/>
        <v>53062681285.742188</v>
      </c>
      <c r="HB108" s="218">
        <f t="shared" si="139"/>
        <v>2057428137759.6997</v>
      </c>
      <c r="HC108" s="218">
        <f t="shared" si="198"/>
        <v>5438671235476.4336</v>
      </c>
      <c r="HD108" s="218">
        <f>HC108*intermediates!$B$79/(10000*1000000000)</f>
        <v>360.98747640901598</v>
      </c>
      <c r="HE108" s="218">
        <f>(GV108*intermediates!$B$80+GV108*GL108*intermediates!$B$82)/(10000*1000000000)</f>
        <v>1245.4841125542603</v>
      </c>
      <c r="HF108" s="218">
        <f>GU108*intermediates!$B$78/(10000*1000000000)</f>
        <v>4666.0468394082018</v>
      </c>
      <c r="HG108" s="218">
        <f>HB108*intermediates!$B$81/(10000*1000000000)</f>
        <v>517.1623566429314</v>
      </c>
      <c r="HH108" s="218">
        <f t="shared" si="199"/>
        <v>0</v>
      </c>
      <c r="HI108" s="218">
        <f t="shared" si="200"/>
        <v>12.38306506057711</v>
      </c>
      <c r="HJ108" s="218">
        <f t="shared" si="201"/>
        <v>-4.2610254829363612</v>
      </c>
      <c r="HK108" s="218">
        <f ca="1">SUM(HJ108:INDIRECT(ADDRESS(MAX(CELL("row",HJ108)-intermediates!$B$83,69),CELL("col",HJ108))))/intermediates!$B$83+SUM(HH108:INDIRECT(ADDRESS(MAX(CELL("row",HH108)-intermediates!$B$84,69),CELL("col",HH108))))/intermediates!$B$84+SUM(HI108:INDIRECT(ADDRESS(MAX(CELL("row",HI108)-intermediates!$B$85,69),CELL("col",HI108))))/intermediates!$B$85</f>
        <v>-20.956058273615163</v>
      </c>
      <c r="HL108" s="218">
        <f t="shared" ca="1" si="163"/>
        <v>-455.47349742071424</v>
      </c>
      <c r="HM108" s="188">
        <f t="shared" si="202"/>
        <v>2052</v>
      </c>
      <c r="HQ108" s="185">
        <f t="shared" si="203"/>
        <v>1089.0439674729294</v>
      </c>
      <c r="HR108" s="185">
        <f t="shared" si="204"/>
        <v>675.60322144786164</v>
      </c>
      <c r="HS108" s="185">
        <f t="shared" si="205"/>
        <v>522.53034052352791</v>
      </c>
      <c r="HT108" s="185">
        <f t="shared" si="206"/>
        <v>547.73799898744164</v>
      </c>
      <c r="HU108" s="185">
        <f t="shared" si="207"/>
        <v>428.17043206611959</v>
      </c>
      <c r="HV108" s="185">
        <f t="shared" si="208"/>
        <v>393.91679750083006</v>
      </c>
      <c r="HW108" s="185">
        <f t="shared" si="209"/>
        <v>709.27800737037103</v>
      </c>
      <c r="HX108" s="185">
        <f t="shared" si="210"/>
        <v>19.554018675703741</v>
      </c>
      <c r="HY108" s="185">
        <f t="shared" si="211"/>
        <v>332.25688666763034</v>
      </c>
      <c r="HZ108" s="185">
        <f t="shared" si="140"/>
        <v>4366.2807653690807</v>
      </c>
      <c r="IA108" s="185">
        <f t="shared" si="141"/>
        <v>4718.0916707124143</v>
      </c>
      <c r="IB108" s="185">
        <f t="shared" si="212"/>
        <v>2436.1464414943666</v>
      </c>
      <c r="IC108" s="185">
        <f t="shared" si="175"/>
        <v>4728.5200491358073</v>
      </c>
      <c r="ID108" s="185">
        <f t="shared" si="213"/>
        <v>3843.9564285548272</v>
      </c>
      <c r="IE108" s="184">
        <f t="shared" si="142"/>
        <v>-9.4236053529595812E-2</v>
      </c>
      <c r="IF108" s="184">
        <f t="shared" si="143"/>
        <v>-2.712928363580253E-3</v>
      </c>
    </row>
    <row r="109" spans="1:240" x14ac:dyDescent="0.3">
      <c r="A109" s="184">
        <v>2053</v>
      </c>
      <c r="E109" s="207">
        <v>8922481.9529999997</v>
      </c>
      <c r="F109" s="207">
        <v>9872501.5620000008</v>
      </c>
      <c r="G109" s="207">
        <v>10865250.174000001</v>
      </c>
      <c r="I109" s="207">
        <f t="shared" si="164"/>
        <v>8922481953</v>
      </c>
      <c r="J109" s="207">
        <f t="shared" si="164"/>
        <v>9872501562</v>
      </c>
      <c r="K109" s="207">
        <f t="shared" si="164"/>
        <v>10865250174</v>
      </c>
      <c r="L109" s="187">
        <f>IF(intermediates!$B$4&gt;=2,(intermediates!$B$4-2)*K109+(1-(intermediates!$B$4-2))*J109,(intermediates!$B$4-1)*J109+(1-(intermediates!$B$4-1))*I109)</f>
        <v>10239083375.689415</v>
      </c>
      <c r="AJ109" s="184">
        <f>IF(intermediates!$B$46=0,$AJ$74+(intermediates!$B$15-$AJ$74)*MIN(1,(data!A109-data!$A$74)/(intermediates!$B$32-data!$A$74)),IF(A109&lt;2021,$AJ$74+(intermediates!$B$15-$AJ$74)*MIN(1,(data!A109-data!$A$74)/(intermediates!$B$32-data!$A$74)),intermediates!$B$47+(intermediates!$B$15-intermediates!$B$47)*MIN(1,(data!A109-$A$77)/(intermediates!$B$32-$A$77))))</f>
        <v>25372.127271288176</v>
      </c>
      <c r="AK109" s="192">
        <f t="shared" si="146"/>
        <v>25372.127271288176</v>
      </c>
      <c r="AL109" s="192">
        <f t="shared" si="185"/>
        <v>259787326549322.81</v>
      </c>
      <c r="AM109" s="192">
        <f>data!AL109/(1000000*conversions!$C$1)</f>
        <v>22267.485132799098</v>
      </c>
      <c r="AN109" s="192">
        <f>IF(intermediates!$B$13=1,($AJ$74+(27400-$AJ$74)*MIN(1,(data!A109-data!$A$74)/(intermediates!$B$32-data!$A$74)))*L109/(1000000*conversions!$C$1),data!AM109)</f>
        <v>22267.485132799098</v>
      </c>
      <c r="AV109" s="214">
        <f>IF(A109&lt;intermediates!$B$29,0,IF(A109&lt;intermediates!$B$31,(data!A109-intermediates!$B$29)*intermediates!$B$26/(intermediates!$B$31-intermediates!$B$29),intermediates!$B$26))</f>
        <v>10</v>
      </c>
      <c r="AW109" s="212">
        <f>MIN(AW108+intermediates!$B$16,intermediates!$B$17*data!$AW$74)</f>
        <v>1774.8040347862413</v>
      </c>
      <c r="AX109" s="212">
        <f>AV109*1000/conversions!$C$16/intermediates!$B$40</f>
        <v>8187.0584968062822</v>
      </c>
      <c r="AY109" s="212">
        <f>AX109*(1-intermediates!$B$39)*intermediates!$B$28/(conversions!$C$2)</f>
        <v>2143.0300372958864</v>
      </c>
      <c r="AZ109" s="213">
        <f>IF(A109&lt;intermediates!$B$29,0,MIN(intermediates!$B$25,intermediates!$B$25*(A109-intermediates!$B$29)/(intermediates!$B$31-intermediates!$B$29)))</f>
        <v>0</v>
      </c>
      <c r="BA109" s="212">
        <f>IF(A109&lt;intermediates!$B$29,data!$BA$74,IF(intermediates!$B$23&gt;data!$BA$74,MIN(intermediates!$B$23,data!$BA$74+(intermediates!$B$23-data!$BA$74)*((data!A109-intermediates!$B$29)/(intermediates!$B$31-intermediates!$B$29))),MAX(intermediates!$B$23,data!$BA$74+(intermediates!$B$23-data!$BA$74)*((data!A109-intermediates!$B$29)/(intermediates!$B$31-intermediates!$B$29)))))</f>
        <v>0.08</v>
      </c>
      <c r="BB109" s="212">
        <f t="shared" si="214"/>
        <v>1781.3988106239278</v>
      </c>
      <c r="BC109" s="212">
        <f t="shared" si="166"/>
        <v>1781.3988106239278</v>
      </c>
      <c r="BD109" s="212">
        <f t="shared" si="167"/>
        <v>0</v>
      </c>
      <c r="BE109" s="214">
        <f>MAX(0,MIN(1,(data!A109-intermediates!$B$29)/(intermediates!$B$31-intermediates!$B$29)))*((intermediates!$B$38*L109)-$BE$69*1000000000)/1000000000+$BE$69</f>
        <v>1279.8854219611767</v>
      </c>
      <c r="BF109" s="214">
        <f t="shared" si="99"/>
        <v>1279.8854219611767</v>
      </c>
      <c r="BG109" s="214">
        <f t="shared" si="168"/>
        <v>0</v>
      </c>
      <c r="BH109" s="214">
        <f>BD109*conversions!$C$2/conversions!$C$17+BG109*conversions!$C$6/conversions!$C$10</f>
        <v>0</v>
      </c>
      <c r="BI109" s="214">
        <f>BH109*intermediates!$B$41*conversions!$C$11/(conversions!$C$2*conversions!$C$6*intermediates!$B$42)</f>
        <v>0</v>
      </c>
      <c r="BJ109" s="214">
        <f>BH109*intermediates!$B$43/(conversions!$C$1*intermediates!$B$42)</f>
        <v>0</v>
      </c>
      <c r="BK109" s="214">
        <f t="shared" si="215"/>
        <v>0</v>
      </c>
      <c r="BL109" s="214">
        <f t="shared" si="216"/>
        <v>22267.485132799098</v>
      </c>
      <c r="BM109" s="214">
        <f t="shared" si="217"/>
        <v>16568.252250093043</v>
      </c>
      <c r="BN109" s="214">
        <f>IF(A109&lt;intermediates!$B$29,MIN(BO108+intermediates!$B$33*AN108),MIN(BO108*intermediates!$B$35,BO108+intermediates!$B$37*AN108))</f>
        <v>16668.015964836552</v>
      </c>
      <c r="BO109" s="212">
        <f>IF(A109&lt;intermediates!$B$29,MIN(BM109,BO108+intermediates!$B$33*AN108),MIN(BM109,BO108*intermediates!$B$35,BO108+intermediates!$B$37*AN108))</f>
        <v>16568.252250093043</v>
      </c>
      <c r="BP109" s="214">
        <f t="shared" si="218"/>
        <v>99.763714743508899</v>
      </c>
      <c r="BQ109" s="214">
        <f t="shared" si="219"/>
        <v>0</v>
      </c>
      <c r="BR109" s="212" t="str">
        <f t="shared" si="186"/>
        <v/>
      </c>
      <c r="BS109" s="212">
        <f>BP109*conversions!$C$1*intermediates!$B$42/intermediates!$B$43</f>
        <v>222.66028965539255</v>
      </c>
      <c r="BT109" s="214">
        <f>MIN(BT108+BS109,intermediates!$B$27*1000)</f>
        <v>0</v>
      </c>
      <c r="BU109" s="219" t="str">
        <f>IF(AND(BT109=intermediates!$B$27*1000,BT108&lt;&gt;intermediates!$B$27*1000),A109,"")</f>
        <v/>
      </c>
      <c r="BV109" s="212">
        <f>BT109*intermediates!$B$43/(conversions!$C$1*intermediates!$B$42)</f>
        <v>0</v>
      </c>
      <c r="BW109" s="214">
        <f t="shared" si="220"/>
        <v>22267.485132799098</v>
      </c>
      <c r="BX109" s="214">
        <f t="shared" si="221"/>
        <v>16568.252250093043</v>
      </c>
      <c r="BY109" s="227">
        <f>IF(OR(BQ109&gt;0,BT109&lt;&gt;intermediates!$B$27*1000),MAX(0,(BX109-BX108)/AM108),0.000000000001)</f>
        <v>9.9999999999999998E-13</v>
      </c>
      <c r="BZ109" s="322">
        <f>BH109*intermediates!$B$49*1000000</f>
        <v>0</v>
      </c>
      <c r="CA109" s="322">
        <f>BI109*conversions!$C$1*1000000*intermediates!$B$50</f>
        <v>0</v>
      </c>
      <c r="CB109" s="322">
        <f>BT109*1000000*intermediates!$B$49</f>
        <v>0</v>
      </c>
      <c r="CC109" s="214">
        <f>BW109*conversions!$C$1*1000000/L109</f>
        <v>25372.127271288176</v>
      </c>
      <c r="CD109" s="173">
        <f t="shared" si="189"/>
        <v>2053</v>
      </c>
      <c r="CE109" s="173"/>
      <c r="CF109" s="173"/>
      <c r="CG109" s="173"/>
      <c r="CH109" s="173"/>
      <c r="CI109" s="173">
        <f t="shared" si="222"/>
        <v>0</v>
      </c>
      <c r="CJ109" s="173">
        <f t="shared" si="223"/>
        <v>1774.8040347862413</v>
      </c>
      <c r="CK109" s="173">
        <f t="shared" si="224"/>
        <v>1781.3988106239278</v>
      </c>
      <c r="CL109" s="173">
        <f t="shared" si="225"/>
        <v>2143.0300372958864</v>
      </c>
      <c r="CM109" s="173"/>
      <c r="CN109" s="173"/>
      <c r="CO109" s="329">
        <f t="shared" si="169"/>
        <v>16568.252250093043</v>
      </c>
      <c r="CP109" s="174">
        <f t="shared" si="226"/>
        <v>0</v>
      </c>
      <c r="CQ109" s="228">
        <f t="shared" si="227"/>
        <v>10</v>
      </c>
      <c r="CR109" s="228">
        <f t="shared" si="170"/>
        <v>175</v>
      </c>
      <c r="CS109" s="214">
        <f t="shared" ca="1" si="228"/>
        <v>9.4548494932928797</v>
      </c>
      <c r="CT109" s="190">
        <f t="shared" ca="1" si="229"/>
        <v>0.9234078038412562</v>
      </c>
      <c r="CU109" s="190">
        <f t="shared" ca="1" si="187"/>
        <v>9.4548494932928797</v>
      </c>
      <c r="CV109" s="198">
        <f t="shared" si="174"/>
        <v>3203.9310777670239</v>
      </c>
      <c r="CW109" s="198">
        <f t="shared" ca="1" si="171"/>
        <v>3680.4384273639225</v>
      </c>
      <c r="CX109" s="198">
        <f t="shared" ca="1" si="230"/>
        <v>3503.8594246810321</v>
      </c>
      <c r="CY109" s="198">
        <f t="shared" ca="1" si="173"/>
        <v>-176.57900268288981</v>
      </c>
      <c r="CZ109" s="199">
        <f ca="1">IF(CX109&lt;intermediates!$B$55,intermediates!$B$56+(CX109-intermediates!$B$55)*intermediates!$B$53,intermediates!$B$56+(data!CX109-intermediates!$B$55)*intermediates!$B$58)</f>
        <v>1.874489452025967</v>
      </c>
      <c r="DG109" s="201">
        <f>IF(A109&gt;MAX(intermediates!B$31,intermediates!$B$32),DG108,DG108+intermediates!$B$60*DG$73)</f>
        <v>18256881415000</v>
      </c>
      <c r="DH109" s="201">
        <f>IF(A109&gt;MAX(intermediates!B$31,intermediates!$B$32),DH108,DH108+intermediates!$B$61*DH$73)</f>
        <v>29858846142500</v>
      </c>
      <c r="DI109" s="201">
        <f>IF(A109&gt;MAX(intermediates!B$31,intermediates!$B$32),DI108,DI108+intermediates!$B$62*DI$73)</f>
        <v>39093438368000</v>
      </c>
      <c r="DJ109" s="221"/>
      <c r="EE109" s="218"/>
      <c r="EF109" s="212">
        <f>$EF$69+intermediates!$B$90*(A109-2013)*intermediates!$B$92+intermediates!$B$91*intermediates!$B$92*(A109-2013)^2</f>
        <v>3042.5226885492189</v>
      </c>
      <c r="EH109" s="212">
        <f>IF(A109&lt;intermediates!$B$29,data!EH108,IF(A109&lt;intermediates!$B$31,data!$EH$69+(intermediates!$B$93-data!$EH$69)*(data!A109-intermediates!$B$29)/(intermediates!$B$31-intermediates!$B$29),intermediates!$B$93))</f>
        <v>2.522212345090466E-2</v>
      </c>
      <c r="EI109" s="212">
        <f t="shared" si="128"/>
        <v>2.522212345090466E-2</v>
      </c>
      <c r="EN109" s="218"/>
      <c r="EO109" s="212">
        <f t="shared" si="129"/>
        <v>2965.783805696452</v>
      </c>
      <c r="EQ109" s="212">
        <f t="shared" si="130"/>
        <v>76.738882852766892</v>
      </c>
      <c r="ET109" s="214">
        <f>IF(A109&lt;intermediates!$B$29,ET108+intermediates!$B$63,ET108+intermediates!$B$63*intermediates!$B$67)</f>
        <v>1184.7751383919419</v>
      </c>
      <c r="EU109" s="215">
        <f t="shared" si="131"/>
        <v>1184.7751383919419</v>
      </c>
      <c r="EV109" s="216">
        <f>data!EU109*conversions!$C$13</f>
        <v>1.3778934859498284</v>
      </c>
      <c r="EX109" s="212">
        <f>intermediates!$B$64+intermediates!$B$64*(EXP(-(data!A109-intermediates!$B$66)/intermediates!$B$65)-1)</f>
        <v>1.0369144369041308E-2</v>
      </c>
      <c r="EY109" s="217">
        <f>IF(A109&lt;intermediates!$B$29,data!EX109,data!EY108+(data!EX109-data!EX108)*intermediates!$B$68)</f>
        <v>1.0369144369041308E-2</v>
      </c>
      <c r="EZ109" s="217">
        <f t="shared" si="132"/>
        <v>1.0369144369041308E-2</v>
      </c>
      <c r="FB109" s="212">
        <f>intermediates!$B$94+intermediates!$B$95+(intermediates!$B$95*(EXP(-(data!A109-intermediates!$B$97)/intermediates!$B$96)-1))</f>
        <v>1.6165287627578175</v>
      </c>
      <c r="FC109" s="217">
        <f>IF(A109&lt;intermediates!$B$29,data!FB109,data!FC108+(data!FB109-data!FB108)*intermediates!$B$68)</f>
        <v>1.6165287627578175</v>
      </c>
      <c r="FD109" s="212">
        <f t="shared" si="133"/>
        <v>1.6165287627578175</v>
      </c>
      <c r="FF109" s="184">
        <f>intermediates!$B$98+intermediates!$B$99*EXP(-(A109-intermediates!$B$101)/intermediates!$B$100)</f>
        <v>0.8897515627830026</v>
      </c>
      <c r="FG109" s="184">
        <f t="shared" si="101"/>
        <v>0.8897515627830026</v>
      </c>
      <c r="FI109" s="184">
        <f>intermediates!$B$102+intermediates!$B$103*EXP(-(A109-intermediates!$B$105)/intermediates!$B$104)</f>
        <v>1.7220672397842498E-2</v>
      </c>
      <c r="FJ109" s="184">
        <f t="shared" si="134"/>
        <v>1.7220672397842498E-2</v>
      </c>
      <c r="FL109" s="184">
        <f>intermediates!$B$106</f>
        <v>4.5616870531049965E-2</v>
      </c>
      <c r="FM109" s="184">
        <f t="shared" si="135"/>
        <v>4.5616870531049965E-2</v>
      </c>
      <c r="FN109" s="218">
        <f>IF(A109&lt;intermediates!$B$29,0,IF(A109&lt;intermediates!$B$31,(data!A109-intermediates!$B$29)/(intermediates!$B$31-intermediates!$B$29),1))</f>
        <v>1</v>
      </c>
      <c r="FO109" s="218">
        <f t="shared" si="176"/>
        <v>286793574185661.19</v>
      </c>
      <c r="FP109" s="218">
        <f t="shared" si="177"/>
        <v>322329947124359.19</v>
      </c>
      <c r="FQ109" s="218">
        <f t="shared" si="178"/>
        <v>3342285756197.9316</v>
      </c>
      <c r="FR109" s="218">
        <f t="shared" si="179"/>
        <v>521055630624733.13</v>
      </c>
      <c r="FS109" s="218">
        <f t="shared" si="180"/>
        <v>439792846541.28174</v>
      </c>
      <c r="FT109" s="218">
        <f>intermediates!$B$69*data!EU109/intermediates!$B$71</f>
        <v>3.0156481885169986</v>
      </c>
      <c r="FU109" s="218">
        <f>BC109*conversions!$C$1*1000000</f>
        <v>20782986123945.824</v>
      </c>
      <c r="FV109" s="218">
        <f t="shared" si="184"/>
        <v>6891714425801.8525</v>
      </c>
      <c r="FX109" s="221"/>
      <c r="FY109" s="221"/>
      <c r="FZ109" s="221"/>
      <c r="GA109" s="218">
        <f t="shared" si="190"/>
        <v>1279.8854219611767</v>
      </c>
      <c r="GB109" s="218">
        <f>GA109*1000000*10000*intermediates!$B$71/(intermediates!$B$72*data!EU109)</f>
        <v>5305183753010.0947</v>
      </c>
      <c r="GC109" s="218">
        <f t="shared" si="181"/>
        <v>9355295310495.9551</v>
      </c>
      <c r="GD109" s="218">
        <f t="shared" si="144"/>
        <v>21991986335849.184</v>
      </c>
      <c r="GE109" s="218">
        <f t="shared" si="182"/>
        <v>23466567797199.469</v>
      </c>
      <c r="GF109" s="218">
        <f t="shared" si="183"/>
        <v>404110076337.33252</v>
      </c>
      <c r="GG109" s="218">
        <f t="shared" si="136"/>
        <v>1070471385012.9546</v>
      </c>
      <c r="GH109" s="218">
        <f t="shared" si="191"/>
        <v>9597361137919.4746</v>
      </c>
      <c r="GI109" s="218">
        <f t="shared" si="145"/>
        <v>197727019117.76172</v>
      </c>
      <c r="GJ109" s="218">
        <f>ET109*intermediates!$B$73/intermediates!$B$71</f>
        <v>4.5234722827754981</v>
      </c>
      <c r="GK109" s="218">
        <f>CL109*conversions!$C$1*1000000/data!GJ109</f>
        <v>5527173714977.3535</v>
      </c>
      <c r="GL109" s="218">
        <f>MIN(1,FN109)*(intermediates!$B$75-data!$GL$69)+data!$GL$69</f>
        <v>1</v>
      </c>
      <c r="GM109" s="218">
        <f>GL109*intermediates!$B$74*(FS109+GC109+GK109+GG109+GF109+GB109+FV109)</f>
        <v>4349061226826.5234</v>
      </c>
      <c r="GN109" s="218">
        <f>MIN(1,FN109)*intermediates!$B$76</f>
        <v>0.12</v>
      </c>
      <c r="GO109" s="218">
        <f t="shared" si="137"/>
        <v>4001136328680.4009</v>
      </c>
      <c r="GP109" s="218">
        <f>IF(A109&gt;intermediates!$B$29,MIN(1,(A109-intermediates!$B$29)/(intermediates!$B$31-intermediates!$B$29))*intermediates!$B$77,0)</f>
        <v>0.15</v>
      </c>
      <c r="GQ109" s="218">
        <f>IF(AND(A109&gt;intermediates!$B$29+intermediates!$B$30,data!GP109&lt;intermediates!$B$77),1,0)</f>
        <v>0</v>
      </c>
      <c r="GR109" s="218">
        <f t="shared" si="192"/>
        <v>7217359133625</v>
      </c>
      <c r="GS109" s="218">
        <f t="shared" si="193"/>
        <v>47903583957506.68</v>
      </c>
      <c r="GT109" s="218">
        <f t="shared" si="188"/>
        <v>87209165925500</v>
      </c>
      <c r="GU109" s="218">
        <f t="shared" si="194"/>
        <v>46310797501625</v>
      </c>
      <c r="GV109" s="218">
        <f t="shared" si="195"/>
        <v>33342802739003.352</v>
      </c>
      <c r="GW109" s="218">
        <f t="shared" si="196"/>
        <v>212143599993.32031</v>
      </c>
      <c r="GX109" s="218">
        <f>MIN(intermediates!$B$88,FN109*intermediates!$B$87*GO109)</f>
        <v>2000568164340.2004</v>
      </c>
      <c r="GY109" s="218">
        <f t="shared" si="197"/>
        <v>2000568164340.2004</v>
      </c>
      <c r="GZ109" s="218">
        <f>MIN(intermediates!$B$88-GX109,intermediates!$B$87*data!GW109*FN109)</f>
        <v>106071799996.66016</v>
      </c>
      <c r="HA109" s="218">
        <f t="shared" si="138"/>
        <v>106071799996.66016</v>
      </c>
      <c r="HB109" s="218">
        <f t="shared" si="139"/>
        <v>2106639964336.8606</v>
      </c>
      <c r="HC109" s="218">
        <f t="shared" si="198"/>
        <v>5448925720534.792</v>
      </c>
      <c r="HD109" s="218">
        <f>HC109*intermediates!$B$79/(10000*1000000000)</f>
        <v>361.66810969659997</v>
      </c>
      <c r="HE109" s="218">
        <f>(GV109*intermediates!$B$80+GV109*GL109*intermediates!$B$82)/(10000*1000000000)</f>
        <v>1243.1245293714403</v>
      </c>
      <c r="HF109" s="218">
        <f>GU109*intermediates!$B$78/(10000*1000000000)</f>
        <v>4663.4673189274727</v>
      </c>
      <c r="HG109" s="218">
        <f>HB109*intermediates!$B$81/(10000*1000000000)</f>
        <v>529.53241406571965</v>
      </c>
      <c r="HH109" s="218">
        <f t="shared" si="199"/>
        <v>0</v>
      </c>
      <c r="HI109" s="218">
        <f t="shared" si="200"/>
        <v>12.37005742278825</v>
      </c>
      <c r="HJ109" s="218">
        <f t="shared" si="201"/>
        <v>-4.2584703759650893</v>
      </c>
      <c r="HK109" s="218">
        <f ca="1">SUM(HJ109:INDIRECT(ADDRESS(MAX(CELL("row",HJ109)-intermediates!$B$83,69),CELL("col",HJ109))))/intermediates!$B$83+SUM(HH109:INDIRECT(ADDRESS(MAX(CELL("row",HH109)-intermediates!$B$84,69),CELL("col",HH109))))/intermediates!$B$84+SUM(HI109:INDIRECT(ADDRESS(MAX(CELL("row",HI109)-intermediates!$B$85,69),CELL("col",HI109))))/intermediates!$B$85</f>
        <v>-19.45484949329288</v>
      </c>
      <c r="HL109" s="218">
        <f t="shared" ca="1" si="163"/>
        <v>-474.92834691400714</v>
      </c>
      <c r="HM109" s="188">
        <f t="shared" si="202"/>
        <v>2053</v>
      </c>
      <c r="HQ109" s="185">
        <f t="shared" si="203"/>
        <v>1081.3411897355772</v>
      </c>
      <c r="HR109" s="185">
        <f t="shared" si="204"/>
        <v>673.07923697201284</v>
      </c>
      <c r="HS109" s="185">
        <f t="shared" si="205"/>
        <v>518.13073088223462</v>
      </c>
      <c r="HT109" s="185">
        <f t="shared" si="206"/>
        <v>539.81137882913265</v>
      </c>
      <c r="HU109" s="185">
        <f t="shared" si="207"/>
        <v>424.75103163555337</v>
      </c>
      <c r="HV109" s="185">
        <f t="shared" si="208"/>
        <v>390.77094910470902</v>
      </c>
      <c r="HW109" s="185">
        <f t="shared" si="209"/>
        <v>704.88332488444485</v>
      </c>
      <c r="HX109" s="185">
        <f t="shared" si="210"/>
        <v>19.311007818065395</v>
      </c>
      <c r="HY109" s="185">
        <f t="shared" si="211"/>
        <v>326.42431295495629</v>
      </c>
      <c r="HZ109" s="185">
        <f t="shared" si="140"/>
        <v>4332.7678420436641</v>
      </c>
      <c r="IA109" s="185">
        <f t="shared" si="141"/>
        <v>4678.5031628166853</v>
      </c>
      <c r="IB109" s="185">
        <f t="shared" si="212"/>
        <v>2445.9844272210039</v>
      </c>
      <c r="IC109" s="185">
        <f t="shared" si="175"/>
        <v>4699.222165896299</v>
      </c>
      <c r="ID109" s="185">
        <f t="shared" si="213"/>
        <v>3818.0603608345723</v>
      </c>
      <c r="IE109" s="184">
        <f t="shared" si="142"/>
        <v>-9.5979185560212898E-2</v>
      </c>
      <c r="IF109" s="184">
        <f t="shared" si="143"/>
        <v>-5.4265781893204053E-3</v>
      </c>
    </row>
    <row r="110" spans="1:240" x14ac:dyDescent="0.3">
      <c r="A110" s="211">
        <v>2054</v>
      </c>
      <c r="E110" s="207">
        <v>8923228.1070000008</v>
      </c>
      <c r="F110" s="207">
        <v>9915905.2510000095</v>
      </c>
      <c r="G110" s="207">
        <v>10958774.339</v>
      </c>
      <c r="I110" s="207">
        <f t="shared" si="164"/>
        <v>8923228107</v>
      </c>
      <c r="J110" s="207">
        <f t="shared" si="164"/>
        <v>9915905251.0000095</v>
      </c>
      <c r="K110" s="207">
        <f t="shared" si="164"/>
        <v>10958774339</v>
      </c>
      <c r="L110" s="187">
        <f>IF(intermediates!$B$4&gt;=2,(intermediates!$B$4-2)*K110+(1-(intermediates!$B$4-2))*J110,(intermediates!$B$4-1)*J110+(1-(intermediates!$B$4-1))*I110)</f>
        <v>10300994524.456141</v>
      </c>
      <c r="AJ110" s="184">
        <f>IF(intermediates!$B$46=0,$AJ$74+(intermediates!$B$15-$AJ$74)*MIN(1,(data!A110-data!$A$74)/(intermediates!$B$32-data!$A$74)),IF(A110&lt;2021,$AJ$74+(intermediates!$B$15-$AJ$74)*MIN(1,(data!A110-data!$A$74)/(intermediates!$B$32-data!$A$74)),intermediates!$B$47+(intermediates!$B$15-intermediates!$B$47)*MIN(1,(data!A110-$A$77)/(intermediates!$B$32-$A$77))))</f>
        <v>25491.413902388871</v>
      </c>
      <c r="AK110" s="192">
        <f t="shared" si="146"/>
        <v>25491.413902388871</v>
      </c>
      <c r="AL110" s="192">
        <f t="shared" si="185"/>
        <v>262586915029152.91</v>
      </c>
      <c r="AM110" s="192">
        <f>data!AL110/(1000000*conversions!$C$1)</f>
        <v>22507.449859641678</v>
      </c>
      <c r="AN110" s="192">
        <f>IF(intermediates!$B$13=1,($AJ$74+(27400-$AJ$74)*MIN(1,(data!A110-data!$A$74)/(intermediates!$B$32-data!$A$74)))*L110/(1000000*conversions!$C$1),data!AM110)</f>
        <v>22507.449859641678</v>
      </c>
      <c r="AV110" s="214">
        <f>IF(A110&lt;intermediates!$B$29,0,IF(A110&lt;intermediates!$B$31,(data!A110-intermediates!$B$29)*intermediates!$B$26/(intermediates!$B$31-intermediates!$B$29),intermediates!$B$26))</f>
        <v>10</v>
      </c>
      <c r="AW110" s="212">
        <f>MIN(AW109+intermediates!$B$16,intermediates!$B$17*data!$AW$74)</f>
        <v>1798.4042959734506</v>
      </c>
      <c r="AX110" s="212">
        <f>AV110*1000/conversions!$C$16/intermediates!$B$40</f>
        <v>8187.0584968062822</v>
      </c>
      <c r="AY110" s="212">
        <f>AX110*(1-intermediates!$B$39)*intermediates!$B$28/(conversions!$C$2)</f>
        <v>2143.0300372958864</v>
      </c>
      <c r="AZ110" s="213">
        <f>IF(A110&lt;intermediates!$B$29,0,MIN(intermediates!$B$25,intermediates!$B$25*(A110-intermediates!$B$29)/(intermediates!$B$31-intermediates!$B$29)))</f>
        <v>0</v>
      </c>
      <c r="BA110" s="212">
        <f>IF(A110&lt;intermediates!$B$29,data!$BA$74,IF(intermediates!$B$23&gt;data!$BA$74,MIN(intermediates!$B$23,data!$BA$74+(intermediates!$B$23-data!$BA$74)*((data!A110-intermediates!$B$29)/(intermediates!$B$31-intermediates!$B$29))),MAX(intermediates!$B$23,data!$BA$74+(intermediates!$B$23-data!$BA$74)*((data!A110-intermediates!$B$29)/(intermediates!$B$31-intermediates!$B$29)))))</f>
        <v>0.08</v>
      </c>
      <c r="BB110" s="212">
        <f t="shared" si="214"/>
        <v>1800.5959887713343</v>
      </c>
      <c r="BC110" s="212">
        <f t="shared" si="166"/>
        <v>1800.5959887713343</v>
      </c>
      <c r="BD110" s="212">
        <f t="shared" si="167"/>
        <v>0</v>
      </c>
      <c r="BE110" s="214">
        <f>MAX(0,MIN(1,(data!A110-intermediates!$B$29)/(intermediates!$B$31-intermediates!$B$29)))*((intermediates!$B$38*L110)-$BE$69*1000000000)/1000000000+$BE$69</f>
        <v>1287.6243155570176</v>
      </c>
      <c r="BF110" s="214">
        <f t="shared" si="99"/>
        <v>1287.6243155570176</v>
      </c>
      <c r="BG110" s="214">
        <f t="shared" si="168"/>
        <v>0</v>
      </c>
      <c r="BH110" s="214">
        <f>BD110*conversions!$C$2/conversions!$C$17+BG110*conversions!$C$6/conversions!$C$10</f>
        <v>0</v>
      </c>
      <c r="BI110" s="214">
        <f>BH110*intermediates!$B$41*conversions!$C$11/(conversions!$C$2*conversions!$C$6*intermediates!$B$42)</f>
        <v>0</v>
      </c>
      <c r="BJ110" s="214">
        <f>BH110*intermediates!$B$43/(conversions!$C$1*intermediates!$B$42)</f>
        <v>0</v>
      </c>
      <c r="BK110" s="214">
        <f t="shared" si="215"/>
        <v>0</v>
      </c>
      <c r="BL110" s="214">
        <f t="shared" si="216"/>
        <v>22507.449859641678</v>
      </c>
      <c r="BM110" s="214">
        <f t="shared" si="217"/>
        <v>16765.419537601007</v>
      </c>
      <c r="BN110" s="214">
        <f>IF(A110&lt;intermediates!$B$29,MIN(BO109+intermediates!$B$33*AN109),MIN(BO109*intermediates!$B$35,BO109+intermediates!$B$37*AN109))</f>
        <v>17235.97234979946</v>
      </c>
      <c r="BO110" s="212">
        <f>IF(A110&lt;intermediates!$B$29,MIN(BM110,BO109+intermediates!$B$33*AN109),MIN(BM110,BO109*intermediates!$B$35,BO109+intermediates!$B$37*AN109))</f>
        <v>16765.419537601007</v>
      </c>
      <c r="BP110" s="214">
        <f t="shared" si="218"/>
        <v>470.55281219845347</v>
      </c>
      <c r="BQ110" s="214">
        <f t="shared" si="219"/>
        <v>0</v>
      </c>
      <c r="BR110" s="212" t="str">
        <f t="shared" si="186"/>
        <v/>
      </c>
      <c r="BS110" s="212">
        <f>BP110*conversions!$C$1*intermediates!$B$42/intermediates!$B$43</f>
        <v>1050.2157596240095</v>
      </c>
      <c r="BT110" s="214">
        <f>MIN(BT109+BS110,intermediates!$B$27*1000)</f>
        <v>0</v>
      </c>
      <c r="BU110" s="219" t="str">
        <f>IF(AND(BT110=intermediates!$B$27*1000,BT109&lt;&gt;intermediates!$B$27*1000),A110,"")</f>
        <v/>
      </c>
      <c r="BV110" s="212">
        <f>BT110*intermediates!$B$43/(conversions!$C$1*intermediates!$B$42)</f>
        <v>0</v>
      </c>
      <c r="BW110" s="214">
        <f t="shared" si="220"/>
        <v>22507.449859641678</v>
      </c>
      <c r="BX110" s="214">
        <f t="shared" si="221"/>
        <v>16765.419537601007</v>
      </c>
      <c r="BY110" s="227">
        <f>IF(OR(BQ110&gt;0,BT110&lt;&gt;intermediates!$B$27*1000),MAX(0,(BX110-BX109)/AM109),0.000000000001)</f>
        <v>9.9999999999999998E-13</v>
      </c>
      <c r="BZ110" s="322">
        <f>BH110*intermediates!$B$49*1000000</f>
        <v>0</v>
      </c>
      <c r="CA110" s="322">
        <f>BI110*conversions!$C$1*1000000*intermediates!$B$50</f>
        <v>0</v>
      </c>
      <c r="CB110" s="322">
        <f>BT110*1000000*intermediates!$B$49</f>
        <v>0</v>
      </c>
      <c r="CC110" s="214">
        <f>BW110*conversions!$C$1*1000000/L110</f>
        <v>25491.413902388871</v>
      </c>
      <c r="CD110" s="173">
        <f t="shared" si="189"/>
        <v>2054</v>
      </c>
      <c r="CE110" s="173"/>
      <c r="CF110" s="173"/>
      <c r="CG110" s="173"/>
      <c r="CH110" s="173"/>
      <c r="CI110" s="173">
        <f t="shared" si="222"/>
        <v>0</v>
      </c>
      <c r="CJ110" s="173">
        <f t="shared" si="223"/>
        <v>1798.4042959734506</v>
      </c>
      <c r="CK110" s="173">
        <f t="shared" si="224"/>
        <v>1800.5959887713343</v>
      </c>
      <c r="CL110" s="173">
        <f t="shared" si="225"/>
        <v>2143.0300372958864</v>
      </c>
      <c r="CM110" s="173"/>
      <c r="CN110" s="173"/>
      <c r="CO110" s="329">
        <f t="shared" si="169"/>
        <v>16765.419537601007</v>
      </c>
      <c r="CP110" s="174">
        <f t="shared" si="226"/>
        <v>0</v>
      </c>
      <c r="CQ110" s="228">
        <f t="shared" si="227"/>
        <v>10</v>
      </c>
      <c r="CR110" s="228">
        <f t="shared" si="170"/>
        <v>185</v>
      </c>
      <c r="CS110" s="214">
        <f t="shared" ca="1" si="228"/>
        <v>7.9479864355564942</v>
      </c>
      <c r="CT110" s="190">
        <f t="shared" ca="1" si="229"/>
        <v>0.77157466851251644</v>
      </c>
      <c r="CU110" s="190">
        <f t="shared" ca="1" si="187"/>
        <v>7.9479864355564942</v>
      </c>
      <c r="CV110" s="198">
        <f t="shared" si="174"/>
        <v>3203.9310777670239</v>
      </c>
      <c r="CW110" s="198">
        <f t="shared" ca="1" si="171"/>
        <v>3698.3864137994792</v>
      </c>
      <c r="CX110" s="198">
        <f t="shared" ca="1" si="230"/>
        <v>3511.8074111165888</v>
      </c>
      <c r="CY110" s="198">
        <f t="shared" ca="1" si="173"/>
        <v>-186.57900268288981</v>
      </c>
      <c r="CZ110" s="199">
        <f ca="1">IF(CX110&lt;intermediates!$B$55,intermediates!$B$56+(CX110-intermediates!$B$55)*intermediates!$B$53,intermediates!$B$56+(data!CX110-intermediates!$B$55)*intermediates!$B$58)</f>
        <v>1.8788115646469981</v>
      </c>
      <c r="DG110" s="201">
        <f>IF(A110&gt;MAX(intermediates!B$31,intermediates!$B$32),DG109,DG109+intermediates!$B$60*DG$73)</f>
        <v>18330312356250</v>
      </c>
      <c r="DH110" s="201">
        <f>IF(A110&gt;MAX(intermediates!B$31,intermediates!$B$32),DH109,DH109+intermediates!$B$61*DH$73)</f>
        <v>29780918859375</v>
      </c>
      <c r="DI110" s="201">
        <f>IF(A110&gt;MAX(intermediates!B$31,intermediates!$B$32),DI109,DI109+intermediates!$B$62*DI$73)</f>
        <v>39068496761000</v>
      </c>
      <c r="DJ110" s="221"/>
      <c r="EE110" s="218"/>
      <c r="EF110" s="212">
        <f>$EF$69+intermediates!$B$90*(A110-2013)*intermediates!$B$92+intermediates!$B$91*intermediates!$B$92*(A110-2013)^2</f>
        <v>3047.1971785492183</v>
      </c>
      <c r="EH110" s="212">
        <f>IF(A110&lt;intermediates!$B$29,data!EH109,IF(A110&lt;intermediates!$B$31,data!$EH$69+(intermediates!$B$93-data!$EH$69)*(data!A110-intermediates!$B$29)/(intermediates!$B$31-intermediates!$B$29),intermediates!$B$93))</f>
        <v>2.522212345090466E-2</v>
      </c>
      <c r="EI110" s="212">
        <f t="shared" si="128"/>
        <v>2.522212345090466E-2</v>
      </c>
      <c r="EN110" s="218"/>
      <c r="EO110" s="212">
        <f t="shared" si="129"/>
        <v>2970.3403951326013</v>
      </c>
      <c r="EQ110" s="212">
        <f t="shared" si="130"/>
        <v>76.856783416616963</v>
      </c>
      <c r="ET110" s="214">
        <f>IF(A110&lt;intermediates!$B$29,ET109+intermediates!$B$63,ET109+intermediates!$B$63*intermediates!$B$67)</f>
        <v>1194.7507277833847</v>
      </c>
      <c r="EU110" s="215">
        <f t="shared" si="131"/>
        <v>1194.7507277833847</v>
      </c>
      <c r="EV110" s="216">
        <f>data!EU110*conversions!$C$13</f>
        <v>1.3894950964120765</v>
      </c>
      <c r="EX110" s="212">
        <f>intermediates!$B$64+intermediates!$B$64*(EXP(-(data!A110-intermediates!$B$66)/intermediates!$B$65)-1)</f>
        <v>1.0176376930642878E-2</v>
      </c>
      <c r="EY110" s="217">
        <f>IF(A110&lt;intermediates!$B$29,data!EX110,data!EY109+(data!EX110-data!EX109)*intermediates!$B$68)</f>
        <v>1.0176376930642878E-2</v>
      </c>
      <c r="EZ110" s="217">
        <f t="shared" si="132"/>
        <v>1.0176376930642878E-2</v>
      </c>
      <c r="FB110" s="212">
        <f>intermediates!$B$94+intermediates!$B$95+(intermediates!$B$95*(EXP(-(data!A110-intermediates!$B$97)/intermediates!$B$96)-1))</f>
        <v>1.613350969968814</v>
      </c>
      <c r="FC110" s="217">
        <f>IF(A110&lt;intermediates!$B$29,data!FB110,data!FC109+(data!FB110-data!FB109)*intermediates!$B$68)</f>
        <v>1.613350969968814</v>
      </c>
      <c r="FD110" s="212">
        <f t="shared" si="133"/>
        <v>1.613350969968814</v>
      </c>
      <c r="FF110" s="184">
        <f>intermediates!$B$98+intermediates!$B$99*EXP(-(A110-intermediates!$B$101)/intermediates!$B$100)</f>
        <v>0.89019461378417264</v>
      </c>
      <c r="FG110" s="184">
        <f t="shared" si="101"/>
        <v>0.89019461378417264</v>
      </c>
      <c r="FI110" s="184">
        <f>intermediates!$B$102+intermediates!$B$103*EXP(-(A110-intermediates!$B$105)/intermediates!$B$104)</f>
        <v>1.7099554564739321E-2</v>
      </c>
      <c r="FJ110" s="184">
        <f t="shared" si="134"/>
        <v>1.7099554564739321E-2</v>
      </c>
      <c r="FL110" s="184">
        <f>intermediates!$B$106</f>
        <v>4.5616870531049965E-2</v>
      </c>
      <c r="FM110" s="184">
        <f t="shared" si="135"/>
        <v>4.5616870531049965E-2</v>
      </c>
      <c r="FN110" s="218">
        <f>IF(A110&lt;intermediates!$B$29,0,IF(A110&lt;intermediates!$B$31,(data!A110-intermediates!$B$29)/(intermediates!$B$31-intermediates!$B$29),1))</f>
        <v>1</v>
      </c>
      <c r="FO110" s="218">
        <f t="shared" si="176"/>
        <v>288970976376787.25</v>
      </c>
      <c r="FP110" s="218">
        <f t="shared" si="177"/>
        <v>324615507555573.88</v>
      </c>
      <c r="FQ110" s="218">
        <f t="shared" si="178"/>
        <v>3303409762417.4707</v>
      </c>
      <c r="FR110" s="218">
        <f t="shared" si="179"/>
        <v>523718743981704</v>
      </c>
      <c r="FS110" s="218">
        <f t="shared" si="180"/>
        <v>438349801178.49091</v>
      </c>
      <c r="FT110" s="218">
        <f>intermediates!$B$69*data!EU110/intermediates!$B$71</f>
        <v>3.0410393932299238</v>
      </c>
      <c r="FU110" s="218">
        <f>BC110*conversions!$C$1*1000000</f>
        <v>21006953202332.23</v>
      </c>
      <c r="FV110" s="218">
        <f t="shared" si="184"/>
        <v>6907820151589.8477</v>
      </c>
      <c r="FX110" s="221"/>
      <c r="FY110" s="221"/>
      <c r="FZ110" s="221"/>
      <c r="GA110" s="218">
        <f t="shared" si="190"/>
        <v>1287.6243155570176</v>
      </c>
      <c r="GB110" s="218">
        <f>GA110*1000000*10000*intermediates!$B$71/(intermediates!$B$72*data!EU110)</f>
        <v>5292698272930.8574</v>
      </c>
      <c r="GC110" s="218">
        <f t="shared" si="181"/>
        <v>9347617618967</v>
      </c>
      <c r="GD110" s="218">
        <f t="shared" si="144"/>
        <v>21986485844666.195</v>
      </c>
      <c r="GE110" s="218">
        <f t="shared" si="182"/>
        <v>23457666850625.422</v>
      </c>
      <c r="GF110" s="218">
        <f t="shared" si="183"/>
        <v>401115654273.74615</v>
      </c>
      <c r="GG110" s="218">
        <f t="shared" si="136"/>
        <v>1070065351685.4824</v>
      </c>
      <c r="GH110" s="218">
        <f t="shared" si="191"/>
        <v>9589484788123.627</v>
      </c>
      <c r="GI110" s="218">
        <f t="shared" si="145"/>
        <v>196482632021.86328</v>
      </c>
      <c r="GJ110" s="218">
        <f>ET110*intermediates!$B$73/intermediates!$B$71</f>
        <v>4.5615590898448852</v>
      </c>
      <c r="GK110" s="218">
        <f>CL110*conversions!$C$1*1000000/data!GJ110</f>
        <v>5481024493894.1543</v>
      </c>
      <c r="GL110" s="218">
        <f>MIN(1,FN110)*(intermediates!$B$75-data!$GL$69)+data!$GL$69</f>
        <v>1</v>
      </c>
      <c r="GM110" s="218">
        <f>GL110*intermediates!$B$74*(FS110+GC110+GK110+GG110+GF110+GB110+FV110)</f>
        <v>4340803701677.9365</v>
      </c>
      <c r="GN110" s="218">
        <f>MIN(1,FN110)*intermediates!$B$76</f>
        <v>0.12</v>
      </c>
      <c r="GO110" s="218">
        <f t="shared" si="137"/>
        <v>3993539405543.7021</v>
      </c>
      <c r="GP110" s="218">
        <f>IF(A110&gt;intermediates!$B$29,MIN(1,(A110-intermediates!$B$29)/(intermediates!$B$31-intermediates!$B$29))*intermediates!$B$77,0)</f>
        <v>0.15</v>
      </c>
      <c r="GQ110" s="218">
        <f>IF(AND(A110&gt;intermediates!$B$29+intermediates!$B$30,data!GP110&lt;intermediates!$B$77),1,0)</f>
        <v>0</v>
      </c>
      <c r="GR110" s="218">
        <f t="shared" si="192"/>
        <v>7216684682343.75</v>
      </c>
      <c r="GS110" s="218">
        <f t="shared" si="193"/>
        <v>47793128896502.438</v>
      </c>
      <c r="GT110" s="218">
        <f t="shared" si="188"/>
        <v>87179727976625</v>
      </c>
      <c r="GU110" s="218">
        <f t="shared" si="194"/>
        <v>46285181443343.75</v>
      </c>
      <c r="GV110" s="218">
        <f t="shared" si="195"/>
        <v>33279495046197.516</v>
      </c>
      <c r="GW110" s="218">
        <f t="shared" si="196"/>
        <v>318102319122.5625</v>
      </c>
      <c r="GX110" s="218">
        <f>MIN(intermediates!$B$88,FN110*intermediates!$B$87*GO110)</f>
        <v>1996769702771.8511</v>
      </c>
      <c r="GY110" s="218">
        <f t="shared" si="197"/>
        <v>1996769702771.8511</v>
      </c>
      <c r="GZ110" s="218">
        <f>MIN(intermediates!$B$88-GX110,intermediates!$B$87*data!GW110*FN110)</f>
        <v>159051159561.28125</v>
      </c>
      <c r="HA110" s="218">
        <f t="shared" si="138"/>
        <v>159051159561.28125</v>
      </c>
      <c r="HB110" s="218">
        <f t="shared" si="139"/>
        <v>2155820862333.1323</v>
      </c>
      <c r="HC110" s="218">
        <f t="shared" si="198"/>
        <v>5459230624750.6035</v>
      </c>
      <c r="HD110" s="218">
        <f>HC110*intermediates!$B$79/(10000*1000000000)</f>
        <v>362.35208951564789</v>
      </c>
      <c r="HE110" s="218">
        <f>(GV110*intermediates!$B$80+GV110*GL110*intermediates!$B$82)/(10000*1000000000)</f>
        <v>1240.7642195186404</v>
      </c>
      <c r="HF110" s="218">
        <f>GU110*intermediates!$B$78/(10000*1000000000)</f>
        <v>4660.8877984467435</v>
      </c>
      <c r="HG110" s="218">
        <f>HB110*intermediates!$B$81/(10000*1000000000)</f>
        <v>541.89469717188092</v>
      </c>
      <c r="HH110" s="218">
        <f t="shared" si="199"/>
        <v>0</v>
      </c>
      <c r="HI110" s="218">
        <f t="shared" si="200"/>
        <v>12.362283106161271</v>
      </c>
      <c r="HJ110" s="218">
        <f t="shared" si="201"/>
        <v>-4.2558505144810965</v>
      </c>
      <c r="HK110" s="218">
        <f ca="1">SUM(HJ110:INDIRECT(ADDRESS(MAX(CELL("row",HJ110)-intermediates!$B$83,69),CELL("col",HJ110))))/intermediates!$B$83+SUM(HH110:INDIRECT(ADDRESS(MAX(CELL("row",HH110)-intermediates!$B$84,69),CELL("col",HH110))))/intermediates!$B$84+SUM(HI110:INDIRECT(ADDRESS(MAX(CELL("row",HI110)-intermediates!$B$85,69),CELL("col",HI110))))/intermediates!$B$85</f>
        <v>-17.947986435556494</v>
      </c>
      <c r="HL110" s="218">
        <f t="shared" ca="1" si="163"/>
        <v>-492.87633334956365</v>
      </c>
      <c r="HM110" s="188">
        <f t="shared" si="202"/>
        <v>2054</v>
      </c>
      <c r="HQ110" s="185">
        <f t="shared" si="203"/>
        <v>1073.7473714623513</v>
      </c>
      <c r="HR110" s="185">
        <f t="shared" si="204"/>
        <v>670.59740058978025</v>
      </c>
      <c r="HS110" s="185">
        <f t="shared" si="205"/>
        <v>513.80459045630789</v>
      </c>
      <c r="HT110" s="185">
        <f t="shared" si="206"/>
        <v>532.08692431409042</v>
      </c>
      <c r="HU110" s="185">
        <f t="shared" si="207"/>
        <v>421.39656431931917</v>
      </c>
      <c r="HV110" s="185">
        <f t="shared" si="208"/>
        <v>387.6848391737737</v>
      </c>
      <c r="HW110" s="185">
        <f t="shared" si="209"/>
        <v>700.58135311209355</v>
      </c>
      <c r="HX110" s="185">
        <f t="shared" si="210"/>
        <v>19.074141972931194</v>
      </c>
      <c r="HY110" s="185">
        <f t="shared" si="211"/>
        <v>320.68843009038295</v>
      </c>
      <c r="HZ110" s="185">
        <f t="shared" si="140"/>
        <v>4299.8990434277166</v>
      </c>
      <c r="IA110" s="185">
        <f t="shared" si="141"/>
        <v>4639.6616154910307</v>
      </c>
      <c r="IB110" s="185">
        <f t="shared" si="212"/>
        <v>2455.8224129476412</v>
      </c>
      <c r="IC110" s="185">
        <f t="shared" ref="IC110:IC141" si="231">(DG110+DH110)/L110</f>
        <v>4670.5423540806241</v>
      </c>
      <c r="ID110" s="185">
        <f t="shared" si="213"/>
        <v>3792.6917316813824</v>
      </c>
      <c r="IE110" s="184">
        <f t="shared" si="142"/>
        <v>-9.7725662108740202E-2</v>
      </c>
      <c r="IF110" s="184">
        <f t="shared" si="143"/>
        <v>-8.1421694074522953E-3</v>
      </c>
    </row>
    <row r="111" spans="1:240" x14ac:dyDescent="0.3">
      <c r="A111" s="211">
        <v>2055</v>
      </c>
      <c r="E111" s="207">
        <v>8921766.4000000004</v>
      </c>
      <c r="F111" s="207">
        <v>9958098.7459999993</v>
      </c>
      <c r="G111" s="207">
        <v>11052774.676000001</v>
      </c>
      <c r="I111" s="207">
        <f t="shared" si="164"/>
        <v>8921766400</v>
      </c>
      <c r="J111" s="207">
        <f t="shared" si="164"/>
        <v>9958098746</v>
      </c>
      <c r="K111" s="207">
        <f t="shared" si="164"/>
        <v>11052774676</v>
      </c>
      <c r="L111" s="187">
        <f>IF(intermediates!$B$4&gt;=2,(intermediates!$B$4-2)*K111+(1-(intermediates!$B$4-2))*J111,(intermediates!$B$4-1)*J111+(1-(intermediates!$B$4-1))*I111)</f>
        <v>10362318185.816801</v>
      </c>
      <c r="AJ111" s="184">
        <f>IF(intermediates!$B$46=0,$AJ$74+(intermediates!$B$15-$AJ$74)*MIN(1,(data!A111-data!$A$74)/(intermediates!$B$32-data!$A$74)),IF(A111&lt;2021,$AJ$74+(intermediates!$B$15-$AJ$74)*MIN(1,(data!A111-data!$A$74)/(intermediates!$B$32-data!$A$74)),intermediates!$B$47+(intermediates!$B$15-intermediates!$B$47)*MIN(1,(data!A111-$A$77)/(intermediates!$B$32-$A$77))))</f>
        <v>25610.700533489566</v>
      </c>
      <c r="AK111" s="192">
        <f t="shared" si="146"/>
        <v>25610.700533489566</v>
      </c>
      <c r="AL111" s="192">
        <f t="shared" si="185"/>
        <v>265386227889686.97</v>
      </c>
      <c r="AM111" s="192">
        <f>data!AL111/(1000000*conversions!$C$1)</f>
        <v>22747.390961973171</v>
      </c>
      <c r="AN111" s="192">
        <f>IF(intermediates!$B$13=1,($AJ$74+(27400-$AJ$74)*MIN(1,(data!A111-data!$A$74)/(intermediates!$B$32-data!$A$74)))*L111/(1000000*conversions!$C$1),data!AM111)</f>
        <v>22747.390961973171</v>
      </c>
      <c r="AV111" s="214">
        <f>IF(A111&lt;intermediates!$B$29,0,IF(A111&lt;intermediates!$B$31,(data!A111-intermediates!$B$29)*intermediates!$B$26/(intermediates!$B$31-intermediates!$B$29),intermediates!$B$26))</f>
        <v>10</v>
      </c>
      <c r="AW111" s="212">
        <f>MIN(AW110+intermediates!$B$16,intermediates!$B$17*data!$AW$74)</f>
        <v>1822.0045571606599</v>
      </c>
      <c r="AX111" s="212">
        <f>AV111*1000/conversions!$C$16/intermediates!$B$40</f>
        <v>8187.0584968062822</v>
      </c>
      <c r="AY111" s="212">
        <f>AX111*(1-intermediates!$B$39)*intermediates!$B$28/(conversions!$C$2)</f>
        <v>2143.0300372958864</v>
      </c>
      <c r="AZ111" s="213">
        <f>IF(A111&lt;intermediates!$B$29,0,MIN(intermediates!$B$25,intermediates!$B$25*(A111-intermediates!$B$29)/(intermediates!$B$31-intermediates!$B$29)))</f>
        <v>0</v>
      </c>
      <c r="BA111" s="212">
        <f>IF(A111&lt;intermediates!$B$29,data!$BA$74,IF(intermediates!$B$23&gt;data!$BA$74,MIN(intermediates!$B$23,data!$BA$74+(intermediates!$B$23-data!$BA$74)*((data!A111-intermediates!$B$29)/(intermediates!$B$31-intermediates!$B$29))),MAX(intermediates!$B$23,data!$BA$74+(intermediates!$B$23-data!$BA$74)*((data!A111-intermediates!$B$29)/(intermediates!$B$31-intermediates!$B$29)))))</f>
        <v>0.08</v>
      </c>
      <c r="BB111" s="212">
        <f t="shared" si="214"/>
        <v>1819.7912769578538</v>
      </c>
      <c r="BC111" s="212">
        <f t="shared" si="166"/>
        <v>1819.7912769578538</v>
      </c>
      <c r="BD111" s="212">
        <f t="shared" si="167"/>
        <v>0</v>
      </c>
      <c r="BE111" s="214">
        <f>MAX(0,MIN(1,(data!A111-intermediates!$B$29)/(intermediates!$B$31-intermediates!$B$29)))*((intermediates!$B$38*L111)-$BE$69*1000000000)/1000000000+$BE$69</f>
        <v>1295.2897732271001</v>
      </c>
      <c r="BF111" s="214">
        <f t="shared" si="99"/>
        <v>1295.2897732271001</v>
      </c>
      <c r="BG111" s="214">
        <f t="shared" si="168"/>
        <v>0</v>
      </c>
      <c r="BH111" s="214">
        <f>BD111*conversions!$C$2/conversions!$C$17+BG111*conversions!$C$6/conversions!$C$10</f>
        <v>0</v>
      </c>
      <c r="BI111" s="214">
        <f>BH111*intermediates!$B$41*conversions!$C$11/(conversions!$C$2*conversions!$C$6*intermediates!$B$42)</f>
        <v>0</v>
      </c>
      <c r="BJ111" s="214">
        <f>BH111*intermediates!$B$43/(conversions!$C$1*intermediates!$B$42)</f>
        <v>0</v>
      </c>
      <c r="BK111" s="214">
        <f t="shared" si="215"/>
        <v>0</v>
      </c>
      <c r="BL111" s="214">
        <f t="shared" si="216"/>
        <v>22747.390961973171</v>
      </c>
      <c r="BM111" s="214">
        <f t="shared" si="217"/>
        <v>16962.565090558772</v>
      </c>
      <c r="BN111" s="214">
        <f>IF(A111&lt;intermediates!$B$29,MIN(BO110+intermediates!$B$33*AN110),MIN(BO110*intermediates!$B$35,BO110+intermediates!$B$37*AN110))</f>
        <v>17440.335298172482</v>
      </c>
      <c r="BO111" s="212">
        <f>IF(A111&lt;intermediates!$B$29,MIN(BM111,BO110+intermediates!$B$33*AN110),MIN(BM111,BO110*intermediates!$B$35,BO110+intermediates!$B$37*AN110))</f>
        <v>16962.565090558772</v>
      </c>
      <c r="BP111" s="214">
        <f t="shared" si="218"/>
        <v>477.77020761371023</v>
      </c>
      <c r="BQ111" s="214">
        <f t="shared" si="219"/>
        <v>0</v>
      </c>
      <c r="BR111" s="212" t="str">
        <f t="shared" si="186"/>
        <v/>
      </c>
      <c r="BS111" s="212">
        <f>BP111*conversions!$C$1*intermediates!$B$42/intermediates!$B$43</f>
        <v>1066.3240947822403</v>
      </c>
      <c r="BT111" s="214">
        <f>MIN(BT110+BS111,intermediates!$B$27*1000)</f>
        <v>0</v>
      </c>
      <c r="BU111" s="219" t="str">
        <f>IF(AND(BT111=intermediates!$B$27*1000,BT110&lt;&gt;intermediates!$B$27*1000),A111,"")</f>
        <v/>
      </c>
      <c r="BV111" s="212">
        <f>BT111*intermediates!$B$43/(conversions!$C$1*intermediates!$B$42)</f>
        <v>0</v>
      </c>
      <c r="BW111" s="214">
        <f t="shared" si="220"/>
        <v>22747.390961973171</v>
      </c>
      <c r="BX111" s="214">
        <f t="shared" si="221"/>
        <v>16962.565090558772</v>
      </c>
      <c r="BY111" s="227">
        <f>IF(OR(BQ111&gt;0,BT111&lt;&gt;intermediates!$B$27*1000),MAX(0,(BX111-BX110)/AM110),0.000000000001)</f>
        <v>9.9999999999999998E-13</v>
      </c>
      <c r="BZ111" s="322">
        <f>BH111*intermediates!$B$49*1000000</f>
        <v>0</v>
      </c>
      <c r="CA111" s="322">
        <f>BI111*conversions!$C$1*1000000*intermediates!$B$50</f>
        <v>0</v>
      </c>
      <c r="CB111" s="322">
        <f>BT111*1000000*intermediates!$B$49</f>
        <v>0</v>
      </c>
      <c r="CC111" s="214">
        <f>BW111*conversions!$C$1*1000000/L111</f>
        <v>25610.700533489566</v>
      </c>
      <c r="CD111" s="173">
        <f t="shared" si="189"/>
        <v>2055</v>
      </c>
      <c r="CE111" s="173"/>
      <c r="CF111" s="173"/>
      <c r="CG111" s="173"/>
      <c r="CH111" s="173"/>
      <c r="CI111" s="173">
        <f t="shared" si="222"/>
        <v>0</v>
      </c>
      <c r="CJ111" s="173">
        <f t="shared" si="223"/>
        <v>1822.0045571606599</v>
      </c>
      <c r="CK111" s="173">
        <f t="shared" si="224"/>
        <v>1819.7912769578538</v>
      </c>
      <c r="CL111" s="173">
        <f t="shared" si="225"/>
        <v>2143.0300372958864</v>
      </c>
      <c r="CM111" s="173"/>
      <c r="CN111" s="173"/>
      <c r="CO111" s="329">
        <f t="shared" si="169"/>
        <v>16962.565090558772</v>
      </c>
      <c r="CP111" s="174">
        <f t="shared" si="226"/>
        <v>0</v>
      </c>
      <c r="CQ111" s="228">
        <f t="shared" si="227"/>
        <v>10</v>
      </c>
      <c r="CR111" s="228">
        <f t="shared" si="170"/>
        <v>195</v>
      </c>
      <c r="CS111" s="214">
        <f t="shared" ca="1" si="228"/>
        <v>6.4372531301809701</v>
      </c>
      <c r="CT111" s="190">
        <f t="shared" ca="1" si="229"/>
        <v>0.62121747419335382</v>
      </c>
      <c r="CU111" s="190">
        <f t="shared" ca="1" si="187"/>
        <v>6.4372531301809692</v>
      </c>
      <c r="CV111" s="198">
        <f t="shared" si="174"/>
        <v>3203.9310777670239</v>
      </c>
      <c r="CW111" s="198">
        <f t="shared" ca="1" si="171"/>
        <v>3714.8236669296602</v>
      </c>
      <c r="CX111" s="198">
        <f t="shared" ca="1" si="230"/>
        <v>3518.2446642467698</v>
      </c>
      <c r="CY111" s="198">
        <f t="shared" ca="1" si="173"/>
        <v>-196.57900268288981</v>
      </c>
      <c r="CZ111" s="199">
        <f ca="1">IF(CX111&lt;intermediates!$B$55,intermediates!$B$56+(CX111-intermediates!$B$55)*intermediates!$B$53,intermediates!$B$56+(data!CX111-intermediates!$B$55)*intermediates!$B$58)</f>
        <v>1.8823121409532506</v>
      </c>
      <c r="DG111" s="201">
        <f>IF(A111&gt;MAX(intermediates!B$31,intermediates!$B$32),DG110,DG110+intermediates!$B$60*DG$73)</f>
        <v>18403743297500</v>
      </c>
      <c r="DH111" s="201">
        <f>IF(A111&gt;MAX(intermediates!B$31,intermediates!$B$32),DH110,DH110+intermediates!$B$61*DH$73)</f>
        <v>29702991576250</v>
      </c>
      <c r="DI111" s="201">
        <f>IF(A111&gt;MAX(intermediates!B$31,intermediates!$B$32),DI110,DI110+intermediates!$B$62*DI$73)</f>
        <v>39043555154000</v>
      </c>
      <c r="DJ111" s="221"/>
      <c r="EE111" s="218"/>
      <c r="EF111" s="212">
        <f>$EF$69+intermediates!$B$90*(A111-2013)*intermediates!$B$92+intermediates!$B$91*intermediates!$B$92*(A111-2013)^2</f>
        <v>3051.7902685492186</v>
      </c>
      <c r="EH111" s="212">
        <f>IF(A111&lt;intermediates!$B$29,data!EH110,IF(A111&lt;intermediates!$B$31,data!$EH$69+(intermediates!$B$93-data!$EH$69)*(data!A111-intermediates!$B$29)/(intermediates!$B$31-intermediates!$B$29),intermediates!$B$93))</f>
        <v>2.522212345090466E-2</v>
      </c>
      <c r="EI111" s="212">
        <f t="shared" si="128"/>
        <v>2.522212345090466E-2</v>
      </c>
      <c r="EN111" s="218"/>
      <c r="EO111" s="212">
        <f t="shared" si="129"/>
        <v>2974.8176376496008</v>
      </c>
      <c r="EQ111" s="212">
        <f t="shared" si="130"/>
        <v>76.972630899617798</v>
      </c>
      <c r="ET111" s="214">
        <f>IF(A111&lt;intermediates!$B$29,ET110+intermediates!$B$63,ET110+intermediates!$B$63*intermediates!$B$67)</f>
        <v>1204.7263171748275</v>
      </c>
      <c r="EU111" s="215">
        <f t="shared" si="131"/>
        <v>1204.7263171748275</v>
      </c>
      <c r="EV111" s="216">
        <f>data!EU111*conversions!$C$13</f>
        <v>1.4010967068743243</v>
      </c>
      <c r="EX111" s="212">
        <f>intermediates!$B$64+intermediates!$B$64*(EXP(-(data!A111-intermediates!$B$66)/intermediates!$B$65)-1)</f>
        <v>9.9871931327054336E-3</v>
      </c>
      <c r="EY111" s="217">
        <f>IF(A111&lt;intermediates!$B$29,data!EX111,data!EY110+(data!EX111-data!EX110)*intermediates!$B$68)</f>
        <v>9.9871931327054336E-3</v>
      </c>
      <c r="EZ111" s="217">
        <f t="shared" si="132"/>
        <v>9.9871931327054336E-3</v>
      </c>
      <c r="FB111" s="212">
        <f>intermediates!$B$94+intermediates!$B$95+(intermediates!$B$95*(EXP(-(data!A111-intermediates!$B$97)/intermediates!$B$96)-1))</f>
        <v>1.6102598370461889</v>
      </c>
      <c r="FC111" s="217">
        <f>IF(A111&lt;intermediates!$B$29,data!FB111,data!FC110+(data!FB111-data!FB110)*intermediates!$B$68)</f>
        <v>1.6102598370461889</v>
      </c>
      <c r="FD111" s="212">
        <f t="shared" si="133"/>
        <v>1.6102598370461889</v>
      </c>
      <c r="FF111" s="184">
        <f>intermediates!$B$98+intermediates!$B$99*EXP(-(A111-intermediates!$B$101)/intermediates!$B$100)</f>
        <v>0.89062797049696207</v>
      </c>
      <c r="FG111" s="184">
        <f t="shared" si="101"/>
        <v>0.89062797049696207</v>
      </c>
      <c r="FI111" s="184">
        <f>intermediates!$B$102+intermediates!$B$103*EXP(-(A111-intermediates!$B$105)/intermediates!$B$104)</f>
        <v>1.6981611492413919E-2</v>
      </c>
      <c r="FJ111" s="184">
        <f t="shared" si="134"/>
        <v>1.6981611492413919E-2</v>
      </c>
      <c r="FL111" s="184">
        <f>intermediates!$B$106</f>
        <v>4.5616870531049965E-2</v>
      </c>
      <c r="FM111" s="184">
        <f t="shared" si="135"/>
        <v>4.5616870531049965E-2</v>
      </c>
      <c r="FN111" s="218">
        <f>IF(A111&lt;intermediates!$B$29,0,IF(A111&lt;intermediates!$B$31,(data!A111-intermediates!$B$29)/(intermediates!$B$31-intermediates!$B$29),1))</f>
        <v>1</v>
      </c>
      <c r="FO111" s="218">
        <f t="shared" si="176"/>
        <v>291129435938164.88</v>
      </c>
      <c r="FP111" s="218">
        <f t="shared" si="177"/>
        <v>326881083440167.94</v>
      </c>
      <c r="FQ111" s="218">
        <f t="shared" si="178"/>
        <v>3264624511744.957</v>
      </c>
      <c r="FR111" s="218">
        <f t="shared" si="179"/>
        <v>526363480153846.5</v>
      </c>
      <c r="FS111" s="218">
        <f t="shared" si="180"/>
        <v>436915399497.71155</v>
      </c>
      <c r="FT111" s="218">
        <f>intermediates!$B$69*data!EU111/intermediates!$B$71</f>
        <v>3.0664305979428486</v>
      </c>
      <c r="FU111" s="218">
        <f>BC111*conversions!$C$1*1000000</f>
        <v>21230898231174.961</v>
      </c>
      <c r="FV111" s="218">
        <f t="shared" si="184"/>
        <v>6923651963758.1104</v>
      </c>
      <c r="FX111" s="221"/>
      <c r="FY111" s="221"/>
      <c r="FZ111" s="221"/>
      <c r="GA111" s="218">
        <f t="shared" si="190"/>
        <v>1295.2897732271001</v>
      </c>
      <c r="GB111" s="218">
        <f>GA111*1000000*10000*intermediates!$B$71/(intermediates!$B$72*data!EU111)</f>
        <v>5280120207579.7051</v>
      </c>
      <c r="GC111" s="218">
        <f t="shared" si="181"/>
        <v>9339459394490.459</v>
      </c>
      <c r="GD111" s="218">
        <f t="shared" si="144"/>
        <v>21980146965325.984</v>
      </c>
      <c r="GE111" s="218">
        <f t="shared" si="182"/>
        <v>23447953245021.484</v>
      </c>
      <c r="GF111" s="218">
        <f t="shared" si="183"/>
        <v>398184032299.24109</v>
      </c>
      <c r="GG111" s="218">
        <f t="shared" si="136"/>
        <v>1069622247396.2579</v>
      </c>
      <c r="GH111" s="218">
        <f t="shared" si="191"/>
        <v>9581115471715.4395</v>
      </c>
      <c r="GI111" s="218">
        <f t="shared" si="145"/>
        <v>195259322272.73047</v>
      </c>
      <c r="GJ111" s="218">
        <f>ET111*intermediates!$B$73/intermediates!$B$71</f>
        <v>4.5996458969142733</v>
      </c>
      <c r="GK111" s="218">
        <f>CL111*conversions!$C$1*1000000/data!GJ111</f>
        <v>5435639538808.4629</v>
      </c>
      <c r="GL111" s="218">
        <f>MIN(1,FN111)*(intermediates!$B$75-data!$GL$69)+data!$GL$69</f>
        <v>1</v>
      </c>
      <c r="GM111" s="218">
        <f>GL111*intermediates!$B$74*(FS111+GC111+GK111+GG111+GF111+GB111+FV111)</f>
        <v>4332538917574.4917</v>
      </c>
      <c r="GN111" s="218">
        <f>MIN(1,FN111)*intermediates!$B$76</f>
        <v>0.12</v>
      </c>
      <c r="GO111" s="218">
        <f t="shared" si="137"/>
        <v>3985935804168.5322</v>
      </c>
      <c r="GP111" s="218">
        <f>IF(A111&gt;intermediates!$B$29,MIN(1,(A111-intermediates!$B$29)/(intermediates!$B$31-intermediates!$B$29))*intermediates!$B$77,0)</f>
        <v>0.15</v>
      </c>
      <c r="GQ111" s="218">
        <f>IF(AND(A111&gt;intermediates!$B$29+intermediates!$B$30,data!GP111&lt;intermediates!$B$77),1,0)</f>
        <v>0</v>
      </c>
      <c r="GR111" s="218">
        <f t="shared" si="192"/>
        <v>7216010231062.5</v>
      </c>
      <c r="GS111" s="218">
        <f t="shared" si="193"/>
        <v>47682702248380.43</v>
      </c>
      <c r="GT111" s="218">
        <f t="shared" si="188"/>
        <v>87150290027750</v>
      </c>
      <c r="GU111" s="218">
        <f t="shared" si="194"/>
        <v>46259565385062.5</v>
      </c>
      <c r="GV111" s="218">
        <f t="shared" si="195"/>
        <v>33216131701404.438</v>
      </c>
      <c r="GW111" s="218">
        <f t="shared" si="196"/>
        <v>424032625369.57031</v>
      </c>
      <c r="GX111" s="218">
        <f>MIN(intermediates!$B$88,FN111*intermediates!$B$87*GO111)</f>
        <v>1992967902084.2661</v>
      </c>
      <c r="GY111" s="218">
        <f t="shared" si="197"/>
        <v>1992967902084.2661</v>
      </c>
      <c r="GZ111" s="218">
        <f>MIN(intermediates!$B$88-GX111,intermediates!$B$87*data!GW111*FN111)</f>
        <v>212016312684.78516</v>
      </c>
      <c r="HA111" s="218">
        <f t="shared" si="138"/>
        <v>212016312684.78516</v>
      </c>
      <c r="HB111" s="218">
        <f t="shared" si="139"/>
        <v>2204984214769.0513</v>
      </c>
      <c r="HC111" s="218">
        <f t="shared" si="198"/>
        <v>5469608726514.0078</v>
      </c>
      <c r="HD111" s="218">
        <f>HC111*intermediates!$B$79/(10000*1000000000)</f>
        <v>363.04092776368356</v>
      </c>
      <c r="HE111" s="218">
        <f>(GV111*intermediates!$B$80+GV111*GL111*intermediates!$B$82)/(10000*1000000000)</f>
        <v>1238.4018347847632</v>
      </c>
      <c r="HF111" s="218">
        <f>GU111*intermediates!$B$78/(10000*1000000000)</f>
        <v>4658.3082779660135</v>
      </c>
      <c r="HG111" s="218">
        <f>HB111*intermediates!$B$81/(10000*1000000000)</f>
        <v>554.2525699644209</v>
      </c>
      <c r="HH111" s="218">
        <f t="shared" si="199"/>
        <v>0</v>
      </c>
      <c r="HI111" s="218">
        <f t="shared" si="200"/>
        <v>12.357872792539979</v>
      </c>
      <c r="HJ111" s="218">
        <f t="shared" si="201"/>
        <v>-4.2530669665715664</v>
      </c>
      <c r="HK111" s="218">
        <f ca="1">SUM(HJ111:INDIRECT(ADDRESS(MAX(CELL("row",HJ111)-intermediates!$B$83,69),CELL("col",HJ111))))/intermediates!$B$83+SUM(HH111:INDIRECT(ADDRESS(MAX(CELL("row",HH111)-intermediates!$B$84,69),CELL("col",HH111))))/intermediates!$B$84+SUM(HI111:INDIRECT(ADDRESS(MAX(CELL("row",HI111)-intermediates!$B$85,69),CELL("col",HI111))))/intermediates!$B$85</f>
        <v>-16.43725313018097</v>
      </c>
      <c r="HL111" s="218">
        <f t="shared" ca="1" si="163"/>
        <v>-509.31358647974463</v>
      </c>
      <c r="HM111" s="188">
        <f t="shared" si="202"/>
        <v>2055</v>
      </c>
      <c r="HQ111" s="185">
        <f t="shared" si="203"/>
        <v>1066.2596489783446</v>
      </c>
      <c r="HR111" s="185">
        <f t="shared" si="204"/>
        <v>668.15666529471264</v>
      </c>
      <c r="HS111" s="185">
        <f t="shared" si="205"/>
        <v>509.55009418710529</v>
      </c>
      <c r="HT111" s="185">
        <f t="shared" si="206"/>
        <v>524.55825437288513</v>
      </c>
      <c r="HU111" s="185">
        <f t="shared" si="207"/>
        <v>418.10518070218694</v>
      </c>
      <c r="HV111" s="185">
        <f t="shared" si="208"/>
        <v>384.65676624601201</v>
      </c>
      <c r="HW111" s="185">
        <f t="shared" si="209"/>
        <v>696.37026210402007</v>
      </c>
      <c r="HX111" s="185">
        <f t="shared" si="210"/>
        <v>18.843208514865665</v>
      </c>
      <c r="HY111" s="185">
        <f t="shared" si="211"/>
        <v>315.04770006129917</v>
      </c>
      <c r="HZ111" s="185">
        <f t="shared" si="140"/>
        <v>4267.6568718852668</v>
      </c>
      <c r="IA111" s="185">
        <f t="shared" si="141"/>
        <v>4601.547780461432</v>
      </c>
      <c r="IB111" s="185">
        <f t="shared" si="212"/>
        <v>2465.6603986742784</v>
      </c>
      <c r="IC111" s="185">
        <f t="shared" si="231"/>
        <v>4642.4684140268009</v>
      </c>
      <c r="ID111" s="185">
        <f t="shared" si="213"/>
        <v>3767.8398263662684</v>
      </c>
      <c r="IE111" s="184">
        <f t="shared" si="142"/>
        <v>-9.9476506277870372E-2</v>
      </c>
      <c r="IF111" s="184">
        <f t="shared" si="143"/>
        <v>-1.0860502423435836E-2</v>
      </c>
    </row>
    <row r="112" spans="1:240" x14ac:dyDescent="0.3">
      <c r="A112" s="211">
        <v>2056</v>
      </c>
      <c r="E112" s="207">
        <v>8918111.0659999996</v>
      </c>
      <c r="F112" s="207">
        <v>9999085.1669999994</v>
      </c>
      <c r="G112" s="207">
        <v>11147251.074999999</v>
      </c>
      <c r="I112" s="207">
        <f t="shared" si="164"/>
        <v>8918111066</v>
      </c>
      <c r="J112" s="207">
        <f t="shared" si="164"/>
        <v>9999085167</v>
      </c>
      <c r="K112" s="207">
        <f t="shared" si="164"/>
        <v>11147251075</v>
      </c>
      <c r="L112" s="187">
        <f>IF(intermediates!$B$4&gt;=2,(intermediates!$B$4-2)*K112+(1-(intermediates!$B$4-2))*J112,(intermediates!$B$4-1)*J112+(1-(intermediates!$B$4-1))*I112)</f>
        <v>10423056287.063368</v>
      </c>
      <c r="AJ112" s="184">
        <f>IF(intermediates!$B$46=0,$AJ$74+(intermediates!$B$15-$AJ$74)*MIN(1,(data!A112-data!$A$74)/(intermediates!$B$32-data!$A$74)),IF(A112&lt;2021,$AJ$74+(intermediates!$B$15-$AJ$74)*MIN(1,(data!A112-data!$A$74)/(intermediates!$B$32-data!$A$74)),intermediates!$B$47+(intermediates!$B$15-intermediates!$B$47)*MIN(1,(data!A112-$A$77)/(intermediates!$B$32-$A$77))))</f>
        <v>25729.987164590264</v>
      </c>
      <c r="AK112" s="192">
        <f t="shared" si="146"/>
        <v>25729.987164590264</v>
      </c>
      <c r="AL112" s="192">
        <f t="shared" si="185"/>
        <v>268185104481942.31</v>
      </c>
      <c r="AM112" s="192">
        <f>data!AL112/(1000000*conversions!$C$1)</f>
        <v>22987.294669880772</v>
      </c>
      <c r="AN112" s="192">
        <f>IF(intermediates!$B$13=1,($AJ$74+(27400-$AJ$74)*MIN(1,(data!A112-data!$A$74)/(intermediates!$B$32-data!$A$74)))*L112/(1000000*conversions!$C$1),data!AM112)</f>
        <v>22987.294669880772</v>
      </c>
      <c r="AV112" s="214">
        <f>IF(A112&lt;intermediates!$B$29,0,IF(A112&lt;intermediates!$B$31,(data!A112-intermediates!$B$29)*intermediates!$B$26/(intermediates!$B$31-intermediates!$B$29),intermediates!$B$26))</f>
        <v>10</v>
      </c>
      <c r="AW112" s="212">
        <f>MIN(AW111+intermediates!$B$16,intermediates!$B$17*data!$AW$74)</f>
        <v>1845.6048183478692</v>
      </c>
      <c r="AX112" s="212">
        <f>AV112*1000/conversions!$C$16/intermediates!$B$40</f>
        <v>8187.0584968062822</v>
      </c>
      <c r="AY112" s="212">
        <f>AX112*(1-intermediates!$B$39)*intermediates!$B$28/(conversions!$C$2)</f>
        <v>2143.0300372958864</v>
      </c>
      <c r="AZ112" s="213">
        <f>IF(A112&lt;intermediates!$B$29,0,MIN(intermediates!$B$25,intermediates!$B$25*(A112-intermediates!$B$29)/(intermediates!$B$31-intermediates!$B$29)))</f>
        <v>0</v>
      </c>
      <c r="BA112" s="212">
        <f>IF(A112&lt;intermediates!$B$29,data!$BA$74,IF(intermediates!$B$23&gt;data!$BA$74,MIN(intermediates!$B$23,data!$BA$74+(intermediates!$B$23-data!$BA$74)*((data!A112-intermediates!$B$29)/(intermediates!$B$31-intermediates!$B$29))),MAX(intermediates!$B$23,data!$BA$74+(intermediates!$B$23-data!$BA$74)*((data!A112-intermediates!$B$29)/(intermediates!$B$31-intermediates!$B$29)))))</f>
        <v>0.08</v>
      </c>
      <c r="BB112" s="212">
        <f t="shared" si="214"/>
        <v>1838.9835735904617</v>
      </c>
      <c r="BC112" s="212">
        <f t="shared" si="166"/>
        <v>1838.9835735904617</v>
      </c>
      <c r="BD112" s="212">
        <f t="shared" si="167"/>
        <v>0</v>
      </c>
      <c r="BE112" s="214">
        <f>MAX(0,MIN(1,(data!A112-intermediates!$B$29)/(intermediates!$B$31-intermediates!$B$29)))*((intermediates!$B$38*L112)-$BE$69*1000000000)/1000000000+$BE$69</f>
        <v>1302.8820358829209</v>
      </c>
      <c r="BF112" s="214">
        <f t="shared" si="99"/>
        <v>1302.8820358829209</v>
      </c>
      <c r="BG112" s="214">
        <f t="shared" si="168"/>
        <v>0</v>
      </c>
      <c r="BH112" s="214">
        <f>BD112*conversions!$C$2/conversions!$C$17+BG112*conversions!$C$6/conversions!$C$10</f>
        <v>0</v>
      </c>
      <c r="BI112" s="214">
        <f>BH112*intermediates!$B$41*conversions!$C$11/(conversions!$C$2*conversions!$C$6*intermediates!$B$42)</f>
        <v>0</v>
      </c>
      <c r="BJ112" s="214">
        <f>BH112*intermediates!$B$43/(conversions!$C$1*intermediates!$B$42)</f>
        <v>0</v>
      </c>
      <c r="BK112" s="214">
        <f t="shared" si="215"/>
        <v>0</v>
      </c>
      <c r="BL112" s="214">
        <f t="shared" si="216"/>
        <v>22987.294669880772</v>
      </c>
      <c r="BM112" s="214">
        <f t="shared" si="217"/>
        <v>17159.676240646557</v>
      </c>
      <c r="BN112" s="214">
        <f>IF(A112&lt;intermediates!$B$29,MIN(BO111+intermediates!$B$33*AN111),MIN(BO111*intermediates!$B$35,BO111+intermediates!$B$37*AN111))</f>
        <v>17644.675803582981</v>
      </c>
      <c r="BO112" s="212">
        <f>IF(A112&lt;intermediates!$B$29,MIN(BM112,BO111+intermediates!$B$33*AN111),MIN(BM112,BO111*intermediates!$B$35,BO111+intermediates!$B$37*AN111))</f>
        <v>17159.676240646557</v>
      </c>
      <c r="BP112" s="214">
        <f t="shared" si="218"/>
        <v>484.9995629364239</v>
      </c>
      <c r="BQ112" s="214">
        <f t="shared" si="219"/>
        <v>0</v>
      </c>
      <c r="BR112" s="212" t="str">
        <f t="shared" si="186"/>
        <v/>
      </c>
      <c r="BS112" s="212">
        <f>BP112*conversions!$C$1*intermediates!$B$42/intermediates!$B$43</f>
        <v>1082.4591229767664</v>
      </c>
      <c r="BT112" s="214">
        <f>MIN(BT111+BS112,intermediates!$B$27*1000)</f>
        <v>0</v>
      </c>
      <c r="BU112" s="219" t="str">
        <f>IF(AND(BT112=intermediates!$B$27*1000,BT111&lt;&gt;intermediates!$B$27*1000),A112,"")</f>
        <v/>
      </c>
      <c r="BV112" s="212">
        <f>BT112*intermediates!$B$43/(conversions!$C$1*intermediates!$B$42)</f>
        <v>0</v>
      </c>
      <c r="BW112" s="214">
        <f t="shared" si="220"/>
        <v>22987.294669880772</v>
      </c>
      <c r="BX112" s="214">
        <f t="shared" si="221"/>
        <v>17159.676240646557</v>
      </c>
      <c r="BY112" s="227">
        <f>IF(OR(BQ112&gt;0,BT112&lt;&gt;intermediates!$B$27*1000),MAX(0,(BX112-BX111)/AM111),0.000000000001)</f>
        <v>9.9999999999999998E-13</v>
      </c>
      <c r="BZ112" s="322">
        <f>BH112*intermediates!$B$49*1000000</f>
        <v>0</v>
      </c>
      <c r="CA112" s="322">
        <f>BI112*conversions!$C$1*1000000*intermediates!$B$50</f>
        <v>0</v>
      </c>
      <c r="CB112" s="322">
        <f>BT112*1000000*intermediates!$B$49</f>
        <v>0</v>
      </c>
      <c r="CC112" s="214">
        <f>BW112*conversions!$C$1*1000000/L112</f>
        <v>25729.987164590264</v>
      </c>
      <c r="CD112" s="173">
        <f t="shared" si="189"/>
        <v>2056</v>
      </c>
      <c r="CE112" s="173"/>
      <c r="CF112" s="173"/>
      <c r="CG112" s="173"/>
      <c r="CH112" s="173"/>
      <c r="CI112" s="173">
        <f t="shared" si="222"/>
        <v>0</v>
      </c>
      <c r="CJ112" s="173">
        <f t="shared" si="223"/>
        <v>1845.6048183478692</v>
      </c>
      <c r="CK112" s="173">
        <f t="shared" si="224"/>
        <v>1838.9835735904617</v>
      </c>
      <c r="CL112" s="173">
        <f t="shared" si="225"/>
        <v>2143.0300372958864</v>
      </c>
      <c r="CM112" s="173"/>
      <c r="CN112" s="173"/>
      <c r="CO112" s="329">
        <f t="shared" si="169"/>
        <v>17159.676240646557</v>
      </c>
      <c r="CP112" s="174">
        <f t="shared" si="226"/>
        <v>0</v>
      </c>
      <c r="CQ112" s="228">
        <f t="shared" si="227"/>
        <v>10</v>
      </c>
      <c r="CR112" s="228">
        <f t="shared" si="170"/>
        <v>205</v>
      </c>
      <c r="CS112" s="214">
        <f t="shared" ca="1" si="228"/>
        <v>4.9245796887244531</v>
      </c>
      <c r="CT112" s="190">
        <f t="shared" ca="1" si="229"/>
        <v>0.47246983543940191</v>
      </c>
      <c r="CU112" s="190">
        <f t="shared" ca="1" si="187"/>
        <v>4.9245796887244531</v>
      </c>
      <c r="CV112" s="198">
        <f t="shared" si="174"/>
        <v>3203.9310777670239</v>
      </c>
      <c r="CW112" s="198">
        <f t="shared" ca="1" si="171"/>
        <v>3729.7482466183847</v>
      </c>
      <c r="CX112" s="198">
        <f t="shared" ca="1" si="230"/>
        <v>3523.1692439354943</v>
      </c>
      <c r="CY112" s="198">
        <f t="shared" ca="1" si="173"/>
        <v>-206.57900268288981</v>
      </c>
      <c r="CZ112" s="199">
        <f ca="1">IF(CX112&lt;intermediates!$B$55,intermediates!$B$56+(CX112-intermediates!$B$55)*intermediates!$B$53,intermediates!$B$56+(data!CX112-intermediates!$B$55)*intermediates!$B$58)</f>
        <v>1.8849901258993107</v>
      </c>
      <c r="DG112" s="201">
        <f>IF(A112&gt;MAX(intermediates!B$31,intermediates!$B$32),DG111,DG111+intermediates!$B$60*DG$73)</f>
        <v>18477174238750</v>
      </c>
      <c r="DH112" s="201">
        <f>IF(A112&gt;MAX(intermediates!B$31,intermediates!$B$32),DH111,DH111+intermediates!$B$61*DH$73)</f>
        <v>29625064293125</v>
      </c>
      <c r="DI112" s="201">
        <f>IF(A112&gt;MAX(intermediates!B$31,intermediates!$B$32),DI111,DI111+intermediates!$B$62*DI$73)</f>
        <v>39018613547000</v>
      </c>
      <c r="DJ112" s="221"/>
      <c r="EE112" s="218"/>
      <c r="EF112" s="212">
        <f>$EF$69+intermediates!$B$90*(A112-2013)*intermediates!$B$92+intermediates!$B$91*intermediates!$B$92*(A112-2013)^2</f>
        <v>3056.3019585492189</v>
      </c>
      <c r="EH112" s="212">
        <f>IF(A112&lt;intermediates!$B$29,data!EH111,IF(A112&lt;intermediates!$B$31,data!$EH$69+(intermediates!$B$93-data!$EH$69)*(data!A112-intermediates!$B$29)/(intermediates!$B$31-intermediates!$B$29),intermediates!$B$93))</f>
        <v>2.522212345090466E-2</v>
      </c>
      <c r="EI112" s="212">
        <f t="shared" si="128"/>
        <v>2.522212345090466E-2</v>
      </c>
      <c r="EN112" s="218"/>
      <c r="EO112" s="212">
        <f t="shared" si="129"/>
        <v>2979.2155332474485</v>
      </c>
      <c r="EQ112" s="212">
        <f t="shared" si="130"/>
        <v>77.086425301770305</v>
      </c>
      <c r="ET112" s="214">
        <f>IF(A112&lt;intermediates!$B$29,ET111+intermediates!$B$63,ET111+intermediates!$B$63*intermediates!$B$67)</f>
        <v>1214.7019065662703</v>
      </c>
      <c r="EU112" s="215">
        <f t="shared" si="131"/>
        <v>1214.7019065662703</v>
      </c>
      <c r="EV112" s="216">
        <f>data!EU112*conversions!$C$13</f>
        <v>1.4126983173365724</v>
      </c>
      <c r="EX112" s="212">
        <f>intermediates!$B$64+intermediates!$B$64*(EXP(-(data!A112-intermediates!$B$66)/intermediates!$B$65)-1)</f>
        <v>9.8015263536093654E-3</v>
      </c>
      <c r="EY112" s="217">
        <f>IF(A112&lt;intermediates!$B$29,data!EX112,data!EY111+(data!EX112-data!EX111)*intermediates!$B$68)</f>
        <v>9.8015263536093654E-3</v>
      </c>
      <c r="EZ112" s="217">
        <f t="shared" si="132"/>
        <v>9.8015263536093654E-3</v>
      </c>
      <c r="FB112" s="212">
        <f>intermediates!$B$94+intermediates!$B$95+(intermediates!$B$95*(EXP(-(data!A112-intermediates!$B$97)/intermediates!$B$96)-1))</f>
        <v>1.6072530007356527</v>
      </c>
      <c r="FC112" s="217">
        <f>IF(A112&lt;intermediates!$B$29,data!FB112,data!FC111+(data!FB112-data!FB111)*intermediates!$B$68)</f>
        <v>1.6072530007356527</v>
      </c>
      <c r="FD112" s="212">
        <f t="shared" si="133"/>
        <v>1.6072530007356527</v>
      </c>
      <c r="FF112" s="184">
        <f>intermediates!$B$98+intermediates!$B$99*EXP(-(A112-intermediates!$B$101)/intermediates!$B$100)</f>
        <v>0.89105184503967549</v>
      </c>
      <c r="FG112" s="184">
        <f t="shared" si="101"/>
        <v>0.89105184503967549</v>
      </c>
      <c r="FI112" s="184">
        <f>intermediates!$B$102+intermediates!$B$103*EXP(-(A112-intermediates!$B$105)/intermediates!$B$104)</f>
        <v>1.6866759963508962E-2</v>
      </c>
      <c r="FJ112" s="184">
        <f t="shared" si="134"/>
        <v>1.6866759963508962E-2</v>
      </c>
      <c r="FL112" s="184">
        <f>intermediates!$B$106</f>
        <v>4.5616870531049965E-2</v>
      </c>
      <c r="FM112" s="184">
        <f t="shared" si="135"/>
        <v>4.5616870531049965E-2</v>
      </c>
      <c r="FN112" s="218">
        <f>IF(A112&lt;intermediates!$B$29,0,IF(A112&lt;intermediates!$B$31,(data!A112-intermediates!$B$29)/(intermediates!$B$31-intermediates!$B$29),1))</f>
        <v>1</v>
      </c>
      <c r="FO112" s="218">
        <f t="shared" si="176"/>
        <v>293268794709433.06</v>
      </c>
      <c r="FP112" s="218">
        <f t="shared" si="177"/>
        <v>329126522033490.44</v>
      </c>
      <c r="FQ112" s="218">
        <f t="shared" si="178"/>
        <v>3225942279383.0498</v>
      </c>
      <c r="FR112" s="218">
        <f t="shared" si="179"/>
        <v>528989590160016.44</v>
      </c>
      <c r="FS112" s="218">
        <f t="shared" si="180"/>
        <v>435489223570.38916</v>
      </c>
      <c r="FT112" s="218">
        <f>intermediates!$B$69*data!EU112/intermediates!$B$71</f>
        <v>3.0918218026557733</v>
      </c>
      <c r="FU112" s="218">
        <f>BC112*conversions!$C$1*1000000</f>
        <v>21454808358555.383</v>
      </c>
      <c r="FV112" s="218">
        <f t="shared" si="184"/>
        <v>6939212454005.7285</v>
      </c>
      <c r="FX112" s="221"/>
      <c r="FY112" s="221"/>
      <c r="FZ112" s="221"/>
      <c r="GA112" s="218">
        <f t="shared" si="190"/>
        <v>1302.8820358829209</v>
      </c>
      <c r="GB112" s="218">
        <f>GA112*1000000*10000*intermediates!$B$71/(intermediates!$B$72*data!EU112)</f>
        <v>5267452811978.7979</v>
      </c>
      <c r="GC112" s="218">
        <f t="shared" si="181"/>
        <v>9330827443887.5273</v>
      </c>
      <c r="GD112" s="218">
        <f t="shared" si="144"/>
        <v>21972981933442.445</v>
      </c>
      <c r="GE112" s="218">
        <f t="shared" si="182"/>
        <v>23437438159115.707</v>
      </c>
      <c r="GF112" s="218">
        <f t="shared" si="183"/>
        <v>395313643589.39001</v>
      </c>
      <c r="GG112" s="218">
        <f t="shared" si="136"/>
        <v>1069142582083.8712</v>
      </c>
      <c r="GH112" s="218">
        <f t="shared" si="191"/>
        <v>9572260171640.8301</v>
      </c>
      <c r="GI112" s="218">
        <f t="shared" si="145"/>
        <v>194056495817.08594</v>
      </c>
      <c r="GJ112" s="218">
        <f>ET112*intermediates!$B$73/intermediates!$B$71</f>
        <v>4.6377327039836604</v>
      </c>
      <c r="GK112" s="218">
        <f>CL112*conversions!$C$1*1000000/data!GJ112</f>
        <v>5391000020399.9307</v>
      </c>
      <c r="GL112" s="218">
        <f>MIN(1,FN112)*(intermediates!$B$75-data!$GL$69)+data!$GL$69</f>
        <v>1</v>
      </c>
      <c r="GM112" s="218">
        <f>GL112*intermediates!$B$74*(FS112+GC112+GK112+GG112+GF112+GB112+FV112)</f>
        <v>4324265726927.3447</v>
      </c>
      <c r="GN112" s="218">
        <f>MIN(1,FN112)*intermediates!$B$76</f>
        <v>0.12</v>
      </c>
      <c r="GO112" s="218">
        <f t="shared" si="137"/>
        <v>3978324468773.1572</v>
      </c>
      <c r="GP112" s="218">
        <f>IF(A112&gt;intermediates!$B$29,MIN(1,(A112-intermediates!$B$29)/(intermediates!$B$31-intermediates!$B$29))*intermediates!$B$77,0)</f>
        <v>0.15</v>
      </c>
      <c r="GQ112" s="218">
        <f>IF(AND(A112&gt;intermediates!$B$29+intermediates!$B$30,data!GP112&lt;intermediates!$B$77),1,0)</f>
        <v>0</v>
      </c>
      <c r="GR112" s="218">
        <f t="shared" si="192"/>
        <v>7215335779781.25</v>
      </c>
      <c r="GS112" s="218">
        <f t="shared" si="193"/>
        <v>47572306434380.438</v>
      </c>
      <c r="GT112" s="218">
        <f t="shared" si="188"/>
        <v>87120852078875</v>
      </c>
      <c r="GU112" s="218">
        <f t="shared" si="194"/>
        <v>46233949326781.25</v>
      </c>
      <c r="GV112" s="218">
        <f t="shared" si="195"/>
        <v>33152703906442.977</v>
      </c>
      <c r="GW112" s="218">
        <f t="shared" si="196"/>
        <v>529932097494.5625</v>
      </c>
      <c r="GX112" s="218">
        <f>MIN(intermediates!$B$88,FN112*intermediates!$B$87*GO112)</f>
        <v>1989162234386.5786</v>
      </c>
      <c r="GY112" s="218">
        <f t="shared" si="197"/>
        <v>1989162234386.5786</v>
      </c>
      <c r="GZ112" s="218">
        <f>MIN(intermediates!$B$88-GX112,intermediates!$B$87*data!GW112*FN112)</f>
        <v>264966048747.28125</v>
      </c>
      <c r="HA112" s="218">
        <f t="shared" si="138"/>
        <v>264966048747.28125</v>
      </c>
      <c r="HB112" s="218">
        <f t="shared" si="139"/>
        <v>2254128283133.8599</v>
      </c>
      <c r="HC112" s="218">
        <f t="shared" si="198"/>
        <v>5480070562516.9102</v>
      </c>
      <c r="HD112" s="218">
        <f>HC112*intermediates!$B$79/(10000*1000000000)</f>
        <v>363.73532380524932</v>
      </c>
      <c r="HE112" s="218">
        <f>(GV112*intermediates!$B$80+GV112*GL112*intermediates!$B$82)/(10000*1000000000)</f>
        <v>1236.0370471459514</v>
      </c>
      <c r="HF112" s="218">
        <f>GU112*intermediates!$B$78/(10000*1000000000)</f>
        <v>4655.7287574852844</v>
      </c>
      <c r="HG112" s="218">
        <f>HB112*intermediates!$B$81/(10000*1000000000)</f>
        <v>566.6055954451748</v>
      </c>
      <c r="HH112" s="218">
        <f t="shared" si="199"/>
        <v>0</v>
      </c>
      <c r="HI112" s="218">
        <f t="shared" si="200"/>
        <v>12.3530254807539</v>
      </c>
      <c r="HJ112" s="218">
        <f t="shared" si="201"/>
        <v>-4.2499120779751252</v>
      </c>
      <c r="HK112" s="218">
        <f ca="1">SUM(HJ112:INDIRECT(ADDRESS(MAX(CELL("row",HJ112)-intermediates!$B$83,69),CELL("col",HJ112))))/intermediates!$B$83+SUM(HH112:INDIRECT(ADDRESS(MAX(CELL("row",HH112)-intermediates!$B$84,69),CELL("col",HH112))))/intermediates!$B$84+SUM(HI112:INDIRECT(ADDRESS(MAX(CELL("row",HI112)-intermediates!$B$85,69),CELL("col",HI112))))/intermediates!$B$85</f>
        <v>-14.924579688724453</v>
      </c>
      <c r="HL112" s="218">
        <f t="shared" ca="1" si="163"/>
        <v>-524.23816616846909</v>
      </c>
      <c r="HM112" s="188">
        <f t="shared" si="202"/>
        <v>2056</v>
      </c>
      <c r="HQ112" s="185">
        <f t="shared" si="203"/>
        <v>1058.8752562923767</v>
      </c>
      <c r="HR112" s="185">
        <f t="shared" si="204"/>
        <v>665.75601847400264</v>
      </c>
      <c r="HS112" s="185">
        <f t="shared" si="205"/>
        <v>505.36547696825977</v>
      </c>
      <c r="HT112" s="185">
        <f t="shared" si="206"/>
        <v>517.21873814410844</v>
      </c>
      <c r="HU112" s="185">
        <f t="shared" si="207"/>
        <v>414.8750239691625</v>
      </c>
      <c r="HV112" s="185">
        <f t="shared" si="208"/>
        <v>381.68502205162952</v>
      </c>
      <c r="HW112" s="185">
        <f t="shared" si="209"/>
        <v>692.247607713354</v>
      </c>
      <c r="HX112" s="185">
        <f t="shared" si="210"/>
        <v>18.618003249002903</v>
      </c>
      <c r="HY112" s="185">
        <f t="shared" si="211"/>
        <v>309.500610045342</v>
      </c>
      <c r="HZ112" s="185">
        <f t="shared" si="140"/>
        <v>4236.0231436128934</v>
      </c>
      <c r="IA112" s="185">
        <f t="shared" si="141"/>
        <v>4564.1417569072382</v>
      </c>
      <c r="IB112" s="185">
        <f t="shared" si="212"/>
        <v>2475.4983844009157</v>
      </c>
      <c r="IC112" s="185">
        <f t="shared" si="231"/>
        <v>4614.9840514223597</v>
      </c>
      <c r="ID112" s="185">
        <f t="shared" si="213"/>
        <v>3743.490630039882</v>
      </c>
      <c r="IE112" s="184">
        <f t="shared" si="142"/>
        <v>-0.10123196376357138</v>
      </c>
      <c r="IF112" s="184">
        <f t="shared" si="143"/>
        <v>-1.3581520441679269E-2</v>
      </c>
    </row>
    <row r="113" spans="1:240" x14ac:dyDescent="0.3">
      <c r="A113" s="184">
        <v>2057</v>
      </c>
      <c r="E113" s="207">
        <v>8912300.3599999994</v>
      </c>
      <c r="F113" s="207">
        <v>10038881.262</v>
      </c>
      <c r="G113" s="207">
        <v>11242194.679</v>
      </c>
      <c r="I113" s="207">
        <f t="shared" si="164"/>
        <v>8912300360</v>
      </c>
      <c r="J113" s="207">
        <f t="shared" si="164"/>
        <v>10038881262</v>
      </c>
      <c r="K113" s="207">
        <f t="shared" si="164"/>
        <v>11242194679</v>
      </c>
      <c r="L113" s="187">
        <f>IF(intermediates!$B$4&gt;=2,(intermediates!$B$4-2)*K113+(1-(intermediates!$B$4-2))*J113,(intermediates!$B$4-1)*J113+(1-(intermediates!$B$4-1))*I113)</f>
        <v>10483216121.30743</v>
      </c>
      <c r="AJ113" s="184">
        <f>IF(intermediates!$B$46=0,$AJ$74+(intermediates!$B$15-$AJ$74)*MIN(1,(data!A113-data!$A$74)/(intermediates!$B$32-data!$A$74)),IF(A113&lt;2021,$AJ$74+(intermediates!$B$15-$AJ$74)*MIN(1,(data!A113-data!$A$74)/(intermediates!$B$32-data!$A$74)),intermediates!$B$47+(intermediates!$B$15-intermediates!$B$47)*MIN(1,(data!A113-$A$77)/(intermediates!$B$32-$A$77))))</f>
        <v>25849.273795690959</v>
      </c>
      <c r="AK113" s="192">
        <f t="shared" si="146"/>
        <v>25849.273795690959</v>
      </c>
      <c r="AL113" s="192">
        <f t="shared" si="185"/>
        <v>270983523779077.16</v>
      </c>
      <c r="AM113" s="192">
        <f>data!AL113/(1000000*conversions!$C$1)</f>
        <v>23227.159181063758</v>
      </c>
      <c r="AN113" s="192">
        <f>IF(intermediates!$B$13=1,($AJ$74+(27400-$AJ$74)*MIN(1,(data!A113-data!$A$74)/(intermediates!$B$32-data!$A$74)))*L113/(1000000*conversions!$C$1),data!AM113)</f>
        <v>23227.159181063758</v>
      </c>
      <c r="AV113" s="214">
        <f>IF(A113&lt;intermediates!$B$29,0,IF(A113&lt;intermediates!$B$31,(data!A113-intermediates!$B$29)*intermediates!$B$26/(intermediates!$B$31-intermediates!$B$29),intermediates!$B$26))</f>
        <v>10</v>
      </c>
      <c r="AW113" s="212">
        <f>MIN(AW112+intermediates!$B$16,intermediates!$B$17*data!$AW$74)</f>
        <v>1869.2050795350785</v>
      </c>
      <c r="AX113" s="212">
        <f>AV113*1000/conversions!$C$16/intermediates!$B$40</f>
        <v>8187.0584968062822</v>
      </c>
      <c r="AY113" s="212">
        <f>AX113*(1-intermediates!$B$39)*intermediates!$B$28/(conversions!$C$2)</f>
        <v>2143.0300372958864</v>
      </c>
      <c r="AZ113" s="213">
        <f>IF(A113&lt;intermediates!$B$29,0,MIN(intermediates!$B$25,intermediates!$B$25*(A113-intermediates!$B$29)/(intermediates!$B$31-intermediates!$B$29)))</f>
        <v>0</v>
      </c>
      <c r="BA113" s="212">
        <f>IF(A113&lt;intermediates!$B$29,data!$BA$74,IF(intermediates!$B$23&gt;data!$BA$74,MIN(intermediates!$B$23,data!$BA$74+(intermediates!$B$23-data!$BA$74)*((data!A113-intermediates!$B$29)/(intermediates!$B$31-intermediates!$B$29))),MAX(intermediates!$B$23,data!$BA$74+(intermediates!$B$23-data!$BA$74)*((data!A113-intermediates!$B$29)/(intermediates!$B$31-intermediates!$B$29)))))</f>
        <v>0.08</v>
      </c>
      <c r="BB113" s="212">
        <f t="shared" si="214"/>
        <v>1858.1727344851006</v>
      </c>
      <c r="BC113" s="212">
        <f t="shared" si="166"/>
        <v>1858.1727344851006</v>
      </c>
      <c r="BD113" s="212">
        <f t="shared" si="167"/>
        <v>0</v>
      </c>
      <c r="BE113" s="214">
        <f>MAX(0,MIN(1,(data!A113-intermediates!$B$29)/(intermediates!$B$31-intermediates!$B$29)))*((intermediates!$B$38*L113)-$BE$69*1000000000)/1000000000+$BE$69</f>
        <v>1310.4020151634286</v>
      </c>
      <c r="BF113" s="214">
        <f t="shared" si="99"/>
        <v>1310.4020151634286</v>
      </c>
      <c r="BG113" s="214">
        <f t="shared" si="168"/>
        <v>0</v>
      </c>
      <c r="BH113" s="214">
        <f>BD113*conversions!$C$2/conversions!$C$17+BG113*conversions!$C$6/conversions!$C$10</f>
        <v>0</v>
      </c>
      <c r="BI113" s="214">
        <f>BH113*intermediates!$B$41*conversions!$C$11/(conversions!$C$2*conversions!$C$6*intermediates!$B$42)</f>
        <v>0</v>
      </c>
      <c r="BJ113" s="214">
        <f>BH113*intermediates!$B$43/(conversions!$C$1*intermediates!$B$42)</f>
        <v>0</v>
      </c>
      <c r="BK113" s="214">
        <f t="shared" si="215"/>
        <v>0</v>
      </c>
      <c r="BL113" s="214">
        <f t="shared" si="216"/>
        <v>23227.159181063758</v>
      </c>
      <c r="BM113" s="214">
        <f t="shared" si="217"/>
        <v>17356.751329747691</v>
      </c>
      <c r="BN113" s="214">
        <f>IF(A113&lt;intermediates!$B$29,MIN(BO112+intermediates!$B$33*AN112),MIN(BO112*intermediates!$B$35,BO112+intermediates!$B$37*AN112))</f>
        <v>17848.980784802061</v>
      </c>
      <c r="BO113" s="212">
        <f>IF(A113&lt;intermediates!$B$29,MIN(BM113,BO112+intermediates!$B$33*AN112),MIN(BM113,BO112*intermediates!$B$35,BO112+intermediates!$B$37*AN112))</f>
        <v>17356.751329747691</v>
      </c>
      <c r="BP113" s="214">
        <f t="shared" si="218"/>
        <v>492.22945505437019</v>
      </c>
      <c r="BQ113" s="214">
        <f t="shared" si="219"/>
        <v>0</v>
      </c>
      <c r="BR113" s="212" t="str">
        <f t="shared" si="186"/>
        <v/>
      </c>
      <c r="BS113" s="212">
        <f>BP113*conversions!$C$1*intermediates!$B$42/intermediates!$B$43</f>
        <v>1098.5953492319532</v>
      </c>
      <c r="BT113" s="214">
        <f>MIN(BT112+BS113,intermediates!$B$27*1000)</f>
        <v>0</v>
      </c>
      <c r="BU113" s="219" t="str">
        <f>IF(AND(BT113=intermediates!$B$27*1000,BT112&lt;&gt;intermediates!$B$27*1000),A113,"")</f>
        <v/>
      </c>
      <c r="BV113" s="212">
        <f>BT113*intermediates!$B$43/(conversions!$C$1*intermediates!$B$42)</f>
        <v>0</v>
      </c>
      <c r="BW113" s="214">
        <f t="shared" si="220"/>
        <v>23227.159181063758</v>
      </c>
      <c r="BX113" s="214">
        <f t="shared" si="221"/>
        <v>17356.751329747691</v>
      </c>
      <c r="BY113" s="227">
        <f>IF(OR(BQ113&gt;0,BT113&lt;&gt;intermediates!$B$27*1000),MAX(0,(BX113-BX112)/AM112),0.000000000001)</f>
        <v>9.9999999999999998E-13</v>
      </c>
      <c r="BZ113" s="322">
        <f>BH113*intermediates!$B$49*1000000</f>
        <v>0</v>
      </c>
      <c r="CA113" s="322">
        <f>BI113*conversions!$C$1*1000000*intermediates!$B$50</f>
        <v>0</v>
      </c>
      <c r="CB113" s="322">
        <f>BT113*1000000*intermediates!$B$49</f>
        <v>0</v>
      </c>
      <c r="CC113" s="214">
        <f>BW113*conversions!$C$1*1000000/L113</f>
        <v>25849.273795690962</v>
      </c>
      <c r="CD113" s="173">
        <f t="shared" si="189"/>
        <v>2057</v>
      </c>
      <c r="CE113" s="173"/>
      <c r="CF113" s="173"/>
      <c r="CG113" s="173"/>
      <c r="CH113" s="173"/>
      <c r="CI113" s="173">
        <f t="shared" si="222"/>
        <v>0</v>
      </c>
      <c r="CJ113" s="173">
        <f t="shared" si="223"/>
        <v>1869.2050795350785</v>
      </c>
      <c r="CK113" s="173">
        <f t="shared" si="224"/>
        <v>1858.1727344851006</v>
      </c>
      <c r="CL113" s="173">
        <f t="shared" si="225"/>
        <v>2143.0300372958864</v>
      </c>
      <c r="CM113" s="173"/>
      <c r="CN113" s="173"/>
      <c r="CO113" s="329">
        <f t="shared" si="169"/>
        <v>17356.751329747691</v>
      </c>
      <c r="CP113" s="174">
        <f t="shared" si="226"/>
        <v>0</v>
      </c>
      <c r="CQ113" s="228">
        <f t="shared" si="227"/>
        <v>10</v>
      </c>
      <c r="CR113" s="228">
        <f t="shared" si="170"/>
        <v>215</v>
      </c>
      <c r="CS113" s="214">
        <f t="shared" ca="1" si="228"/>
        <v>3.412030350476396</v>
      </c>
      <c r="CT113" s="190">
        <f t="shared" ca="1" si="229"/>
        <v>0.32547553260314349</v>
      </c>
      <c r="CU113" s="190">
        <f t="shared" ca="1" si="187"/>
        <v>3.412030350476396</v>
      </c>
      <c r="CV113" s="198">
        <f t="shared" si="174"/>
        <v>3203.9310777670239</v>
      </c>
      <c r="CW113" s="198">
        <f t="shared" ca="1" si="171"/>
        <v>3743.1602769688611</v>
      </c>
      <c r="CX113" s="198">
        <f t="shared" ca="1" si="230"/>
        <v>3526.5812742859707</v>
      </c>
      <c r="CY113" s="198">
        <f t="shared" ca="1" si="173"/>
        <v>-216.57900268288981</v>
      </c>
      <c r="CZ113" s="199">
        <f ca="1">IF(CX113&lt;intermediates!$B$55,intermediates!$B$56+(CX113-intermediates!$B$55)*intermediates!$B$53,intermediates!$B$56+(data!CX113-intermediates!$B$55)*intermediates!$B$58)</f>
        <v>1.8868455869724654</v>
      </c>
      <c r="DG113" s="201">
        <f>IF(A113&gt;MAX(intermediates!B$31,intermediates!$B$32),DG112,DG112+intermediates!$B$60*DG$73)</f>
        <v>18550605180000</v>
      </c>
      <c r="DH113" s="201">
        <f>IF(A113&gt;MAX(intermediates!B$31,intermediates!$B$32),DH112,DH112+intermediates!$B$61*DH$73)</f>
        <v>29547137010000</v>
      </c>
      <c r="DI113" s="201">
        <f>IF(A113&gt;MAX(intermediates!B$31,intermediates!$B$32),DI112,DI112+intermediates!$B$62*DI$73)</f>
        <v>38993671940000</v>
      </c>
      <c r="DJ113" s="221"/>
      <c r="EE113" s="218"/>
      <c r="EF113" s="212">
        <f>$EF$69+intermediates!$B$90*(A113-2013)*intermediates!$B$92+intermediates!$B$91*intermediates!$B$92*(A113-2013)^2</f>
        <v>3060.7322485492186</v>
      </c>
      <c r="EH113" s="212">
        <f>IF(A113&lt;intermediates!$B$29,data!EH112,IF(A113&lt;intermediates!$B$31,data!$EH$69+(intermediates!$B$93-data!$EH$69)*(data!A113-intermediates!$B$29)/(intermediates!$B$31-intermediates!$B$29),intermediates!$B$93))</f>
        <v>2.522212345090466E-2</v>
      </c>
      <c r="EI113" s="212">
        <f t="shared" si="128"/>
        <v>2.522212345090466E-2</v>
      </c>
      <c r="EN113" s="218"/>
      <c r="EO113" s="212">
        <f t="shared" si="129"/>
        <v>2983.5340819261451</v>
      </c>
      <c r="EQ113" s="212">
        <f t="shared" si="130"/>
        <v>77.198166623073575</v>
      </c>
      <c r="ET113" s="214">
        <f>IF(A113&lt;intermediates!$B$29,ET112+intermediates!$B$63,ET112+intermediates!$B$63*intermediates!$B$67)</f>
        <v>1224.6774959577131</v>
      </c>
      <c r="EU113" s="215">
        <f t="shared" si="131"/>
        <v>1224.6774959577131</v>
      </c>
      <c r="EV113" s="216">
        <f>data!EU113*conversions!$C$13</f>
        <v>1.4242999277988202</v>
      </c>
      <c r="EX113" s="212">
        <f>intermediates!$B$64+intermediates!$B$64*(EXP(-(data!A113-intermediates!$B$66)/intermediates!$B$65)-1)</f>
        <v>9.6193112102633902E-3</v>
      </c>
      <c r="EY113" s="217">
        <f>IF(A113&lt;intermediates!$B$29,data!EX113,data!EY112+(data!EX113-data!EX112)*intermediates!$B$68)</f>
        <v>9.6193112102633902E-3</v>
      </c>
      <c r="EZ113" s="217">
        <f t="shared" si="132"/>
        <v>9.6193112102633902E-3</v>
      </c>
      <c r="FB113" s="212">
        <f>intermediates!$B$94+intermediates!$B$95+(intermediates!$B$95*(EXP(-(data!A113-intermediates!$B$97)/intermediates!$B$96)-1))</f>
        <v>1.6043281622299432</v>
      </c>
      <c r="FC113" s="217">
        <f>IF(A113&lt;intermediates!$B$29,data!FB113,data!FC112+(data!FB113-data!FB112)*intermediates!$B$68)</f>
        <v>1.6043281622299432</v>
      </c>
      <c r="FD113" s="212">
        <f t="shared" si="133"/>
        <v>1.6043281622299432</v>
      </c>
      <c r="FF113" s="184">
        <f>intermediates!$B$98+intermediates!$B$99*EXP(-(A113-intermediates!$B$101)/intermediates!$B$100)</f>
        <v>0.89146644488930982</v>
      </c>
      <c r="FG113" s="184">
        <f t="shared" si="101"/>
        <v>0.89146644488930982</v>
      </c>
      <c r="FI113" s="184">
        <f>intermediates!$B$102+intermediates!$B$103*EXP(-(A113-intermediates!$B$105)/intermediates!$B$104)</f>
        <v>1.6754918941974329E-2</v>
      </c>
      <c r="FJ113" s="184">
        <f t="shared" si="134"/>
        <v>1.6754918941974329E-2</v>
      </c>
      <c r="FL113" s="184">
        <f>intermediates!$B$106</f>
        <v>4.5616870531049965E-2</v>
      </c>
      <c r="FM113" s="184">
        <f t="shared" si="135"/>
        <v>4.5616870531049965E-2</v>
      </c>
      <c r="FN113" s="218">
        <f>IF(A113&lt;intermediates!$B$29,0,IF(A113&lt;intermediates!$B$31,(data!A113-intermediates!$B$29)/(intermediates!$B$31-intermediates!$B$29),1))</f>
        <v>1</v>
      </c>
      <c r="FO113" s="218">
        <f t="shared" ref="FO113:FO144" si="232">(EP113+EQ113)*L113*365</f>
        <v>295389048680609.44</v>
      </c>
      <c r="FP113" s="218">
        <f t="shared" si="177"/>
        <v>331351842095735.69</v>
      </c>
      <c r="FQ113" s="218">
        <f t="shared" si="178"/>
        <v>3187376489212.9351</v>
      </c>
      <c r="FR113" s="218">
        <f t="shared" si="179"/>
        <v>531597091880958</v>
      </c>
      <c r="FS113" s="218">
        <f t="shared" si="180"/>
        <v>434071086988.69531</v>
      </c>
      <c r="FT113" s="218">
        <f>intermediates!$B$69*data!EU113/intermediates!$B$71</f>
        <v>3.1172130073686986</v>
      </c>
      <c r="FU113" s="218">
        <f>BC113*conversions!$C$1*1000000</f>
        <v>21678681902326.176</v>
      </c>
      <c r="FV113" s="218">
        <f t="shared" si="184"/>
        <v>6954507712844.9375</v>
      </c>
      <c r="FX113" s="221"/>
      <c r="FY113" s="221"/>
      <c r="FZ113" s="221"/>
      <c r="GA113" s="218">
        <f t="shared" si="190"/>
        <v>1310.4020151634286</v>
      </c>
      <c r="GB113" s="218">
        <f>GA113*1000000*10000*intermediates!$B$71/(intermediates!$B$72*data!EU113)</f>
        <v>5254701924707.2764</v>
      </c>
      <c r="GC113" s="218">
        <f t="shared" ref="GC113:GC144" si="233">(EN113+EO113)*L113*365/EU113</f>
        <v>9321733216797.3281</v>
      </c>
      <c r="GD113" s="218">
        <f t="shared" si="144"/>
        <v>21965013941338.238</v>
      </c>
      <c r="GE113" s="218">
        <f t="shared" si="182"/>
        <v>23426144493874.848</v>
      </c>
      <c r="GF113" s="218">
        <f t="shared" si="183"/>
        <v>392503152117.85132</v>
      </c>
      <c r="GG113" s="218">
        <f t="shared" si="136"/>
        <v>1068627400418.7579</v>
      </c>
      <c r="GH113" s="218">
        <f t="shared" si="191"/>
        <v>9562930633795.3535</v>
      </c>
      <c r="GI113" s="218">
        <f t="shared" si="145"/>
        <v>192873669990.66992</v>
      </c>
      <c r="GJ113" s="218">
        <f>ET113*intermediates!$B$73/intermediates!$B$71</f>
        <v>4.6758195110530476</v>
      </c>
      <c r="GK113" s="218">
        <f>CL113*conversions!$C$1*1000000/data!GJ113</f>
        <v>5347087722843.8193</v>
      </c>
      <c r="GL113" s="218">
        <f>MIN(1,FN113)*(intermediates!$B$75-data!$GL$69)+data!$GL$69</f>
        <v>1</v>
      </c>
      <c r="GM113" s="218">
        <f>GL113*intermediates!$B$74*(FS113+GC113+GK113+GG113+GF113+GB113+FV113)</f>
        <v>4315984832507.7998</v>
      </c>
      <c r="GN113" s="218">
        <f>MIN(1,FN113)*intermediates!$B$76</f>
        <v>0.12</v>
      </c>
      <c r="GO113" s="218">
        <f t="shared" si="137"/>
        <v>3970706045907.1758</v>
      </c>
      <c r="GP113" s="218">
        <f>IF(A113&gt;intermediates!$B$29,MIN(1,(A113-intermediates!$B$29)/(intermediates!$B$31-intermediates!$B$29))*intermediates!$B$77,0)</f>
        <v>0.15</v>
      </c>
      <c r="GQ113" s="218">
        <f>IF(AND(A113&gt;intermediates!$B$29+intermediates!$B$30,data!GP113&lt;intermediates!$B$77),1,0)</f>
        <v>0</v>
      </c>
      <c r="GR113" s="218">
        <f t="shared" si="192"/>
        <v>7214661328500</v>
      </c>
      <c r="GS113" s="218">
        <f t="shared" si="193"/>
        <v>47461960912846.578</v>
      </c>
      <c r="GT113" s="218">
        <f t="shared" si="188"/>
        <v>87091414130000</v>
      </c>
      <c r="GU113" s="218">
        <f t="shared" si="194"/>
        <v>46208333268500</v>
      </c>
      <c r="GV113" s="218">
        <f t="shared" si="195"/>
        <v>33089217049226.469</v>
      </c>
      <c r="GW113" s="218">
        <f t="shared" si="196"/>
        <v>635781277153.42188</v>
      </c>
      <c r="GX113" s="218">
        <f>MIN(intermediates!$B$88,FN113*intermediates!$B$87*GO113)</f>
        <v>1985353022953.5879</v>
      </c>
      <c r="GY113" s="218">
        <f t="shared" si="197"/>
        <v>1985353022953.5879</v>
      </c>
      <c r="GZ113" s="218">
        <f>MIN(intermediates!$B$88-GX113,intermediates!$B$87*data!GW113*FN113)</f>
        <v>317890638576.71094</v>
      </c>
      <c r="HA113" s="218">
        <f t="shared" si="138"/>
        <v>317890638576.71094</v>
      </c>
      <c r="HB113" s="218">
        <f t="shared" si="139"/>
        <v>2303243661530.2988</v>
      </c>
      <c r="HC113" s="218">
        <f t="shared" si="198"/>
        <v>5490620150743.2344</v>
      </c>
      <c r="HD113" s="218">
        <f>HC113*intermediates!$B$79/(10000*1000000000)</f>
        <v>364.4355443308317</v>
      </c>
      <c r="HE113" s="218">
        <f>(GV113*intermediates!$B$80+GV113*GL113*intermediates!$B$82)/(10000*1000000000)</f>
        <v>1233.6700574805559</v>
      </c>
      <c r="HF113" s="218">
        <f>GU113*intermediates!$B$78/(10000*1000000000)</f>
        <v>4653.1492370045553</v>
      </c>
      <c r="HG113" s="218">
        <f>HB113*intermediates!$B$81/(10000*1000000000)</f>
        <v>578.95140931480046</v>
      </c>
      <c r="HH113" s="218">
        <f t="shared" si="199"/>
        <v>0</v>
      </c>
      <c r="HI113" s="218">
        <f t="shared" si="200"/>
        <v>12.345813869625658</v>
      </c>
      <c r="HJ113" s="218">
        <f t="shared" si="201"/>
        <v>-4.2462896205422567</v>
      </c>
      <c r="HK113" s="218">
        <f ca="1">SUM(HJ113:INDIRECT(ADDRESS(MAX(CELL("row",HJ113)-intermediates!$B$83,69),CELL("col",HJ113))))/intermediates!$B$83+SUM(HH113:INDIRECT(ADDRESS(MAX(CELL("row",HH113)-intermediates!$B$84,69),CELL("col",HH113))))/intermediates!$B$84+SUM(HI113:INDIRECT(ADDRESS(MAX(CELL("row",HI113)-intermediates!$B$85,69),CELL("col",HI113))))/intermediates!$B$85</f>
        <v>-13.412030350476396</v>
      </c>
      <c r="HL113" s="218">
        <f t="shared" ca="1" si="163"/>
        <v>-537.65019651894545</v>
      </c>
      <c r="HM113" s="188">
        <f t="shared" si="202"/>
        <v>2057</v>
      </c>
      <c r="HQ113" s="185">
        <f t="shared" si="203"/>
        <v>1051.5915210338219</v>
      </c>
      <c r="HR113" s="185">
        <f t="shared" si="204"/>
        <v>663.39448050772376</v>
      </c>
      <c r="HS113" s="185">
        <f t="shared" si="205"/>
        <v>501.24903120397829</v>
      </c>
      <c r="HT113" s="185">
        <f t="shared" si="206"/>
        <v>510.06176548966818</v>
      </c>
      <c r="HU113" s="185">
        <f t="shared" si="207"/>
        <v>411.70426923999401</v>
      </c>
      <c r="HV113" s="185">
        <f t="shared" si="208"/>
        <v>378.76792770079447</v>
      </c>
      <c r="HW113" s="185">
        <f t="shared" si="209"/>
        <v>688.21068315438038</v>
      </c>
      <c r="HX113" s="185">
        <f t="shared" si="210"/>
        <v>18.398330031434607</v>
      </c>
      <c r="HY113" s="185">
        <f t="shared" si="211"/>
        <v>304.04567189400046</v>
      </c>
      <c r="HZ113" s="185">
        <f t="shared" si="140"/>
        <v>4204.9796783303609</v>
      </c>
      <c r="IA113" s="185">
        <f t="shared" si="141"/>
        <v>4527.4236802557962</v>
      </c>
      <c r="IB113" s="185">
        <f t="shared" si="212"/>
        <v>2485.3363701275534</v>
      </c>
      <c r="IC113" s="185">
        <f t="shared" si="231"/>
        <v>4588.0712210292022</v>
      </c>
      <c r="ID113" s="185">
        <f t="shared" si="213"/>
        <v>3719.6287369049151</v>
      </c>
      <c r="IE113" s="184">
        <f t="shared" si="142"/>
        <v>-0.10299187628537623</v>
      </c>
      <c r="IF113" s="184">
        <f t="shared" si="143"/>
        <v>-1.6304729601554418E-2</v>
      </c>
    </row>
    <row r="114" spans="1:240" x14ac:dyDescent="0.3">
      <c r="A114" s="211">
        <v>2058</v>
      </c>
      <c r="E114" s="207">
        <v>8904420.8340000007</v>
      </c>
      <c r="F114" s="207">
        <v>10077518.08</v>
      </c>
      <c r="G114" s="207">
        <v>11337550.42</v>
      </c>
      <c r="I114" s="207">
        <f t="shared" si="164"/>
        <v>8904420834</v>
      </c>
      <c r="J114" s="207">
        <f t="shared" si="164"/>
        <v>10077518080</v>
      </c>
      <c r="K114" s="207">
        <f t="shared" si="164"/>
        <v>11337550420</v>
      </c>
      <c r="L114" s="187">
        <f>IF(intermediates!$B$4&gt;=2,(intermediates!$B$4-2)*K114+(1-(intermediates!$B$4-2))*J114,(intermediates!$B$4-1)*J114+(1-(intermediates!$B$4-1))*I114)</f>
        <v>10542796938.032307</v>
      </c>
      <c r="AJ114" s="184">
        <f>IF(intermediates!$B$46=0,$AJ$74+(intermediates!$B$15-$AJ$74)*MIN(1,(data!A114-data!$A$74)/(intermediates!$B$32-data!$A$74)),IF(A114&lt;2021,$AJ$74+(intermediates!$B$15-$AJ$74)*MIN(1,(data!A114-data!$A$74)/(intermediates!$B$32-data!$A$74)),intermediates!$B$47+(intermediates!$B$15-intermediates!$B$47)*MIN(1,(data!A114-$A$77)/(intermediates!$B$32-$A$77))))</f>
        <v>25968.560426791653</v>
      </c>
      <c r="AK114" s="192">
        <f t="shared" si="146"/>
        <v>25968.560426791653</v>
      </c>
      <c r="AL114" s="192">
        <f t="shared" si="185"/>
        <v>273781259352685.97</v>
      </c>
      <c r="AM114" s="192">
        <f>data!AL114/(1000000*conversions!$C$1)</f>
        <v>23466.965087373082</v>
      </c>
      <c r="AN114" s="192">
        <f>IF(intermediates!$B$13=1,($AJ$74+(27400-$AJ$74)*MIN(1,(data!A114-data!$A$74)/(intermediates!$B$32-data!$A$74)))*L114/(1000000*conversions!$C$1),data!AM114)</f>
        <v>23466.965087373082</v>
      </c>
      <c r="AV114" s="214">
        <f>IF(A114&lt;intermediates!$B$29,0,IF(A114&lt;intermediates!$B$31,(data!A114-intermediates!$B$29)*intermediates!$B$26/(intermediates!$B$31-intermediates!$B$29),intermediates!$B$26))</f>
        <v>10</v>
      </c>
      <c r="AW114" s="212">
        <f>MIN(AW113+intermediates!$B$16,intermediates!$B$17*data!$AW$74)</f>
        <v>1892.8053407222878</v>
      </c>
      <c r="AX114" s="212">
        <f>AV114*1000/conversions!$C$16/intermediates!$B$40</f>
        <v>8187.0584968062822</v>
      </c>
      <c r="AY114" s="212">
        <f>AX114*(1-intermediates!$B$39)*intermediates!$B$28/(conversions!$C$2)</f>
        <v>2143.0300372958864</v>
      </c>
      <c r="AZ114" s="213">
        <f>IF(A114&lt;intermediates!$B$29,0,MIN(intermediates!$B$25,intermediates!$B$25*(A114-intermediates!$B$29)/(intermediates!$B$31-intermediates!$B$29)))</f>
        <v>0</v>
      </c>
      <c r="BA114" s="212">
        <f>IF(A114&lt;intermediates!$B$29,data!$BA$74,IF(intermediates!$B$23&gt;data!$BA$74,MIN(intermediates!$B$23,data!$BA$74+(intermediates!$B$23-data!$BA$74)*((data!A114-intermediates!$B$29)/(intermediates!$B$31-intermediates!$B$29))),MAX(intermediates!$B$23,data!$BA$74+(intermediates!$B$23-data!$BA$74)*((data!A114-intermediates!$B$29)/(intermediates!$B$31-intermediates!$B$29)))))</f>
        <v>0.08</v>
      </c>
      <c r="BB114" s="212">
        <f t="shared" si="214"/>
        <v>1877.3572069898466</v>
      </c>
      <c r="BC114" s="212">
        <f t="shared" si="166"/>
        <v>1877.3572069898466</v>
      </c>
      <c r="BD114" s="212">
        <f t="shared" si="167"/>
        <v>0</v>
      </c>
      <c r="BE114" s="214">
        <f>MAX(0,MIN(1,(data!A114-intermediates!$B$29)/(intermediates!$B$31-intermediates!$B$29)))*((intermediates!$B$38*L114)-$BE$69*1000000000)/1000000000+$BE$69</f>
        <v>1317.8496172540383</v>
      </c>
      <c r="BF114" s="214">
        <f t="shared" si="99"/>
        <v>1317.8496172540383</v>
      </c>
      <c r="BG114" s="214">
        <f t="shared" si="168"/>
        <v>0</v>
      </c>
      <c r="BH114" s="214">
        <f>BD114*conversions!$C$2/conversions!$C$17+BG114*conversions!$C$6/conversions!$C$10</f>
        <v>0</v>
      </c>
      <c r="BI114" s="214">
        <f>BH114*intermediates!$B$41*conversions!$C$11/(conversions!$C$2*conversions!$C$6*intermediates!$B$42)</f>
        <v>0</v>
      </c>
      <c r="BJ114" s="214">
        <f>BH114*intermediates!$B$43/(conversions!$C$1*intermediates!$B$42)</f>
        <v>0</v>
      </c>
      <c r="BK114" s="214">
        <f t="shared" si="215"/>
        <v>0</v>
      </c>
      <c r="BL114" s="214">
        <f t="shared" si="216"/>
        <v>23466.965087373082</v>
      </c>
      <c r="BM114" s="214">
        <f t="shared" si="217"/>
        <v>17553.772502365064</v>
      </c>
      <c r="BN114" s="214">
        <f>IF(A114&lt;intermediates!$B$29,MIN(BO113+intermediates!$B$33*AN113),MIN(BO113*intermediates!$B$35,BO113+intermediates!$B$37*AN113))</f>
        <v>18053.248529668675</v>
      </c>
      <c r="BO114" s="212">
        <f>IF(A114&lt;intermediates!$B$29,MIN(BM114,BO113+intermediates!$B$33*AN113),MIN(BM114,BO113*intermediates!$B$35,BO113+intermediates!$B$37*AN113))</f>
        <v>17553.772502365064</v>
      </c>
      <c r="BP114" s="214">
        <f t="shared" si="218"/>
        <v>499.47602730361177</v>
      </c>
      <c r="BQ114" s="214">
        <f t="shared" si="219"/>
        <v>0</v>
      </c>
      <c r="BR114" s="212" t="str">
        <f t="shared" si="186"/>
        <v/>
      </c>
      <c r="BS114" s="212">
        <f>BP114*conversions!$C$1*intermediates!$B$42/intermediates!$B$43</f>
        <v>1114.7688034800551</v>
      </c>
      <c r="BT114" s="214">
        <f>MIN(BT113+BS114,intermediates!$B$27*1000)</f>
        <v>0</v>
      </c>
      <c r="BU114" s="219" t="str">
        <f>IF(AND(BT114=intermediates!$B$27*1000,BT113&lt;&gt;intermediates!$B$27*1000),A114,"")</f>
        <v/>
      </c>
      <c r="BV114" s="212">
        <f>BT114*intermediates!$B$43/(conversions!$C$1*intermediates!$B$42)</f>
        <v>0</v>
      </c>
      <c r="BW114" s="214">
        <f t="shared" si="220"/>
        <v>23466.965087373082</v>
      </c>
      <c r="BX114" s="214">
        <f t="shared" si="221"/>
        <v>17553.772502365064</v>
      </c>
      <c r="BY114" s="227">
        <f>IF(OR(BQ114&gt;0,BT114&lt;&gt;intermediates!$B$27*1000),MAX(0,(BX114-BX113)/AM113),0.000000000001)</f>
        <v>9.9999999999999998E-13</v>
      </c>
      <c r="BZ114" s="322">
        <f>BH114*intermediates!$B$49*1000000</f>
        <v>0</v>
      </c>
      <c r="CA114" s="322">
        <f>BI114*conversions!$C$1*1000000*intermediates!$B$50</f>
        <v>0</v>
      </c>
      <c r="CB114" s="322">
        <f>BT114*1000000*intermediates!$B$49</f>
        <v>0</v>
      </c>
      <c r="CC114" s="214">
        <f>BW114*conversions!$C$1*1000000/L114</f>
        <v>25968.56042679165</v>
      </c>
      <c r="CD114" s="173">
        <f t="shared" si="189"/>
        <v>2058</v>
      </c>
      <c r="CE114" s="173"/>
      <c r="CF114" s="173"/>
      <c r="CG114" s="173"/>
      <c r="CH114" s="173"/>
      <c r="CI114" s="173">
        <f t="shared" si="222"/>
        <v>0</v>
      </c>
      <c r="CJ114" s="173">
        <f t="shared" si="223"/>
        <v>1892.8053407222878</v>
      </c>
      <c r="CK114" s="173">
        <f t="shared" si="224"/>
        <v>1877.3572069898466</v>
      </c>
      <c r="CL114" s="173">
        <f t="shared" si="225"/>
        <v>2143.0300372958864</v>
      </c>
      <c r="CM114" s="173"/>
      <c r="CN114" s="173"/>
      <c r="CO114" s="329">
        <f t="shared" si="169"/>
        <v>17553.772502365064</v>
      </c>
      <c r="CP114" s="174">
        <f t="shared" si="226"/>
        <v>0</v>
      </c>
      <c r="CQ114" s="228">
        <f t="shared" si="227"/>
        <v>10</v>
      </c>
      <c r="CR114" s="228">
        <f t="shared" si="170"/>
        <v>225</v>
      </c>
      <c r="CS114" s="214">
        <f t="shared" ca="1" si="228"/>
        <v>1.9017458093034172</v>
      </c>
      <c r="CT114" s="190">
        <f t="shared" ca="1" si="229"/>
        <v>0.1803834239131572</v>
      </c>
      <c r="CU114" s="190">
        <f t="shared" ca="1" si="187"/>
        <v>1.9017458093034174</v>
      </c>
      <c r="CV114" s="198">
        <f t="shared" si="174"/>
        <v>3203.9310777670239</v>
      </c>
      <c r="CW114" s="198">
        <f t="shared" ca="1" si="171"/>
        <v>3755.0620227781646</v>
      </c>
      <c r="CX114" s="198">
        <f t="shared" ca="1" si="230"/>
        <v>3528.4830200952742</v>
      </c>
      <c r="CY114" s="198">
        <f t="shared" ca="1" si="173"/>
        <v>-226.57900268288981</v>
      </c>
      <c r="CZ114" s="199">
        <f ca="1">IF(CX114&lt;intermediates!$B$55,intermediates!$B$56+(CX114-intermediates!$B$55)*intermediates!$B$53,intermediates!$B$56+(data!CX114-intermediates!$B$55)*intermediates!$B$58)</f>
        <v>1.8878797557686791</v>
      </c>
      <c r="DG114" s="201">
        <f>IF(A114&gt;MAX(intermediates!B$31,intermediates!$B$32),DG113,DG113+intermediates!$B$60*DG$73)</f>
        <v>18624036121250</v>
      </c>
      <c r="DH114" s="201">
        <f>IF(A114&gt;MAX(intermediates!B$31,intermediates!$B$32),DH113,DH113+intermediates!$B$61*DH$73)</f>
        <v>29469209726875</v>
      </c>
      <c r="DI114" s="201">
        <f>IF(A114&gt;MAX(intermediates!B$31,intermediates!$B$32),DI113,DI113+intermediates!$B$62*DI$73)</f>
        <v>38968730333000</v>
      </c>
      <c r="DJ114" s="221"/>
      <c r="EE114" s="218"/>
      <c r="EF114" s="212">
        <f>$EF$69+intermediates!$B$90*(A114-2013)*intermediates!$B$92+intermediates!$B$91*intermediates!$B$92*(A114-2013)^2</f>
        <v>3065.0811385492188</v>
      </c>
      <c r="EH114" s="212">
        <f>IF(A114&lt;intermediates!$B$29,data!EH113,IF(A114&lt;intermediates!$B$31,data!$EH$69+(intermediates!$B$93-data!$EH$69)*(data!A114-intermediates!$B$29)/(intermediates!$B$31-intermediates!$B$29),intermediates!$B$93))</f>
        <v>2.522212345090466E-2</v>
      </c>
      <c r="EI114" s="212">
        <f t="shared" si="128"/>
        <v>2.522212345090466E-2</v>
      </c>
      <c r="EN114" s="218"/>
      <c r="EO114" s="212">
        <f t="shared" si="129"/>
        <v>2987.7732836856908</v>
      </c>
      <c r="EQ114" s="212">
        <f t="shared" si="130"/>
        <v>77.307854863528064</v>
      </c>
      <c r="ET114" s="214">
        <f>IF(A114&lt;intermediates!$B$29,ET113+intermediates!$B$63,ET113+intermediates!$B$63*intermediates!$B$67)</f>
        <v>1234.6530853491558</v>
      </c>
      <c r="EU114" s="215">
        <f t="shared" si="131"/>
        <v>1234.6530853491558</v>
      </c>
      <c r="EV114" s="216">
        <f>data!EU114*conversions!$C$13</f>
        <v>1.4359015382610683</v>
      </c>
      <c r="EX114" s="212">
        <f>intermediates!$B$64+intermediates!$B$64*(EXP(-(data!A114-intermediates!$B$66)/intermediates!$B$65)-1)</f>
        <v>9.4404835350796953E-3</v>
      </c>
      <c r="EY114" s="217">
        <f>IF(A114&lt;intermediates!$B$29,data!EX114,data!EY113+(data!EX114-data!EX113)*intermediates!$B$68)</f>
        <v>9.4404835350796953E-3</v>
      </c>
      <c r="EZ114" s="217">
        <f t="shared" si="132"/>
        <v>9.4404835350796953E-3</v>
      </c>
      <c r="FB114" s="212">
        <f>intermediates!$B$94+intermediates!$B$95+(intermediates!$B$95*(EXP(-(data!A114-intermediates!$B$97)/intermediates!$B$96)-1))</f>
        <v>1.6014830854113271</v>
      </c>
      <c r="FC114" s="217">
        <f>IF(A114&lt;intermediates!$B$29,data!FB114,data!FC113+(data!FB114-data!FB113)*intermediates!$B$68)</f>
        <v>1.6014830854113271</v>
      </c>
      <c r="FD114" s="212">
        <f t="shared" si="133"/>
        <v>1.6014830854113271</v>
      </c>
      <c r="FF114" s="184">
        <f>intermediates!$B$98+intermediates!$B$99*EXP(-(A114-intermediates!$B$101)/intermediates!$B$100)</f>
        <v>0.8918719729831095</v>
      </c>
      <c r="FG114" s="184">
        <f t="shared" si="101"/>
        <v>0.8918719729831095</v>
      </c>
      <c r="FI114" s="184">
        <f>intermediates!$B$102+intermediates!$B$103*EXP(-(A114-intermediates!$B$105)/intermediates!$B$104)</f>
        <v>1.6646009515890313E-2</v>
      </c>
      <c r="FJ114" s="184">
        <f t="shared" si="134"/>
        <v>1.6646009515890313E-2</v>
      </c>
      <c r="FL114" s="184">
        <f>intermediates!$B$106</f>
        <v>4.5616870531049965E-2</v>
      </c>
      <c r="FM114" s="184">
        <f t="shared" si="135"/>
        <v>4.5616870531049965E-2</v>
      </c>
      <c r="FN114" s="218">
        <f>IF(A114&lt;intermediates!$B$29,0,IF(A114&lt;intermediates!$B$31,(data!A114-intermediates!$B$29)/(intermediates!$B$31-intermediates!$B$29),1))</f>
        <v>1</v>
      </c>
      <c r="FO114" s="218">
        <f t="shared" si="232"/>
        <v>297489970672483.13</v>
      </c>
      <c r="FP114" s="218">
        <f t="shared" si="177"/>
        <v>333556810488669.88</v>
      </c>
      <c r="FQ114" s="218">
        <f t="shared" si="178"/>
        <v>3148937577431.9863</v>
      </c>
      <c r="FR114" s="218">
        <f t="shared" si="179"/>
        <v>534185590021356.38</v>
      </c>
      <c r="FS114" s="218">
        <f t="shared" si="180"/>
        <v>432660474719.73914</v>
      </c>
      <c r="FT114" s="218">
        <f>intermediates!$B$69*data!EU114/intermediates!$B$71</f>
        <v>3.1426042120816233</v>
      </c>
      <c r="FU114" s="218">
        <f>BC114*conversions!$C$1*1000000</f>
        <v>21902500748214.879</v>
      </c>
      <c r="FV114" s="218">
        <f t="shared" si="184"/>
        <v>6969538405126.4043</v>
      </c>
      <c r="FX114" s="221"/>
      <c r="FY114" s="221"/>
      <c r="FZ114" s="221"/>
      <c r="GA114" s="218">
        <f t="shared" si="190"/>
        <v>1317.8496172540383</v>
      </c>
      <c r="GB114" s="218">
        <f>GA114*1000000*10000*intermediates!$B$71/(intermediates!$B$72*data!EU114)</f>
        <v>5241869196364.3359</v>
      </c>
      <c r="GC114" s="218">
        <f t="shared" si="233"/>
        <v>9312180807066.0762</v>
      </c>
      <c r="GD114" s="218">
        <f t="shared" si="144"/>
        <v>21956248883276.555</v>
      </c>
      <c r="GE114" s="218">
        <f t="shared" si="182"/>
        <v>23414076734400.379</v>
      </c>
      <c r="GF114" s="218">
        <f t="shared" si="183"/>
        <v>389750944126.61469</v>
      </c>
      <c r="GG114" s="218">
        <f t="shared" si="136"/>
        <v>1068076906997.2112</v>
      </c>
      <c r="GH114" s="218">
        <f t="shared" si="191"/>
        <v>9553131057952.4258</v>
      </c>
      <c r="GI114" s="218">
        <f t="shared" si="145"/>
        <v>191710223833.38867</v>
      </c>
      <c r="GJ114" s="218">
        <f>ET114*intermediates!$B$73/intermediates!$B$71</f>
        <v>4.7139063181224357</v>
      </c>
      <c r="GK114" s="218">
        <f>CL114*conversions!$C$1*1000000/data!GJ114</f>
        <v>5303885019026.7939</v>
      </c>
      <c r="GL114" s="218">
        <f>MIN(1,FN114)*(intermediates!$B$75-data!$GL$69)+data!$GL$69</f>
        <v>1</v>
      </c>
      <c r="GM114" s="218">
        <f>GL114*intermediates!$B$74*(FS114+GC114+GK114+GG114+GF114+GB114+FV114)</f>
        <v>4307694263014.0767</v>
      </c>
      <c r="GN114" s="218">
        <f>MIN(1,FN114)*intermediates!$B$76</f>
        <v>0.12</v>
      </c>
      <c r="GO114" s="218">
        <f t="shared" si="137"/>
        <v>3963078721972.9502</v>
      </c>
      <c r="GP114" s="218">
        <f>IF(A114&gt;intermediates!$B$29,MIN(1,(A114-intermediates!$B$29)/(intermediates!$B$31-intermediates!$B$29))*intermediates!$B$77,0)</f>
        <v>0.15</v>
      </c>
      <c r="GQ114" s="218">
        <f>IF(AND(A114&gt;intermediates!$B$29+intermediates!$B$30,data!GP114&lt;intermediates!$B$77),1,0)</f>
        <v>0</v>
      </c>
      <c r="GR114" s="218">
        <f t="shared" si="192"/>
        <v>7213986877218.75</v>
      </c>
      <c r="GS114" s="218">
        <f t="shared" si="193"/>
        <v>47351659193064.938</v>
      </c>
      <c r="GT114" s="218">
        <f t="shared" si="188"/>
        <v>87061976181125</v>
      </c>
      <c r="GU114" s="218">
        <f t="shared" si="194"/>
        <v>46182717210218.75</v>
      </c>
      <c r="GV114" s="218">
        <f t="shared" si="195"/>
        <v>33025656016441.25</v>
      </c>
      <c r="GW114" s="218">
        <f t="shared" si="196"/>
        <v>741586655060.0625</v>
      </c>
      <c r="GX114" s="218">
        <f>MIN(intermediates!$B$88,FN114*intermediates!$B$87*GO114)</f>
        <v>1981539360986.4751</v>
      </c>
      <c r="GY114" s="218">
        <f t="shared" si="197"/>
        <v>1981539360986.4751</v>
      </c>
      <c r="GZ114" s="218">
        <f>MIN(intermediates!$B$88-GX114,intermediates!$B$87*data!GW114*FN114)</f>
        <v>370793327530.03125</v>
      </c>
      <c r="HA114" s="218">
        <f t="shared" si="138"/>
        <v>370793327530.03125</v>
      </c>
      <c r="HB114" s="218">
        <f t="shared" si="139"/>
        <v>2352332688516.5063</v>
      </c>
      <c r="HC114" s="218">
        <f t="shared" si="198"/>
        <v>5501270265948.4922</v>
      </c>
      <c r="HD114" s="218">
        <f>HC114*intermediates!$B$79/(10000*1000000000)</f>
        <v>365.14243725466451</v>
      </c>
      <c r="HE114" s="218">
        <f>(GV114*intermediates!$B$80+GV114*GL114*intermediates!$B$82)/(10000*1000000000)</f>
        <v>1231.3003023167207</v>
      </c>
      <c r="HF114" s="218">
        <f>GU114*intermediates!$B$78/(10000*1000000000)</f>
        <v>4650.5697165238253</v>
      </c>
      <c r="HG114" s="218">
        <f>HB114*intermediates!$B$81/(10000*1000000000)</f>
        <v>591.29059940147783</v>
      </c>
      <c r="HH114" s="218">
        <f t="shared" si="199"/>
        <v>0</v>
      </c>
      <c r="HI114" s="218">
        <f t="shared" si="200"/>
        <v>12.339190086677377</v>
      </c>
      <c r="HJ114" s="218">
        <f t="shared" si="201"/>
        <v>-4.2423827207323939</v>
      </c>
      <c r="HK114" s="218">
        <f ca="1">SUM(HJ114:INDIRECT(ADDRESS(MAX(CELL("row",HJ114)-intermediates!$B$83,69),CELL("col",HJ114))))/intermediates!$B$83+SUM(HH114:INDIRECT(ADDRESS(MAX(CELL("row",HH114)-intermediates!$B$84,69),CELL("col",HH114))))/intermediates!$B$84+SUM(HI114:INDIRECT(ADDRESS(MAX(CELL("row",HI114)-intermediates!$B$85,69),CELL("col",HI114))))/intermediates!$B$85</f>
        <v>-11.901745809303417</v>
      </c>
      <c r="HL114" s="218">
        <f t="shared" ca="1" si="163"/>
        <v>-549.55194232824886</v>
      </c>
      <c r="HM114" s="188">
        <f t="shared" si="202"/>
        <v>2058</v>
      </c>
      <c r="HQ114" s="185">
        <f t="shared" si="203"/>
        <v>1044.4058605885775</v>
      </c>
      <c r="HR114" s="185">
        <f t="shared" si="204"/>
        <v>661.07110343597208</v>
      </c>
      <c r="HS114" s="185">
        <f t="shared" si="205"/>
        <v>497.1991044857088</v>
      </c>
      <c r="HT114" s="185">
        <f t="shared" si="206"/>
        <v>503.08139767858449</v>
      </c>
      <c r="HU114" s="185">
        <f t="shared" si="207"/>
        <v>408.59121998967942</v>
      </c>
      <c r="HV114" s="185">
        <f t="shared" si="208"/>
        <v>375.90392239050504</v>
      </c>
      <c r="HW114" s="185">
        <f t="shared" si="209"/>
        <v>684.2574052806483</v>
      </c>
      <c r="HX114" s="185">
        <f t="shared" si="210"/>
        <v>18.184000409019468</v>
      </c>
      <c r="HY114" s="185">
        <f t="shared" si="211"/>
        <v>298.68142163228458</v>
      </c>
      <c r="HZ114" s="185">
        <f t="shared" si="140"/>
        <v>4174.5100138496755</v>
      </c>
      <c r="IA114" s="185">
        <f t="shared" si="141"/>
        <v>4491.3754358909791</v>
      </c>
      <c r="IB114" s="185">
        <f t="shared" si="212"/>
        <v>2495.1743558541907</v>
      </c>
      <c r="IC114" s="185">
        <f t="shared" si="231"/>
        <v>4561.716035204322</v>
      </c>
      <c r="ID114" s="185">
        <f t="shared" si="213"/>
        <v>3696.2421416297402</v>
      </c>
      <c r="IE114" s="184">
        <f t="shared" si="142"/>
        <v>-0.1047566708343194</v>
      </c>
      <c r="IF114" s="184">
        <f t="shared" si="143"/>
        <v>-1.9030300672436037E-2</v>
      </c>
    </row>
    <row r="115" spans="1:240" x14ac:dyDescent="0.3">
      <c r="A115" s="211">
        <v>2059</v>
      </c>
      <c r="E115" s="207">
        <v>8894581.8809999898</v>
      </c>
      <c r="F115" s="207">
        <v>10115036.359999999</v>
      </c>
      <c r="G115" s="207">
        <v>11433247.289000001</v>
      </c>
      <c r="I115" s="207">
        <f t="shared" si="164"/>
        <v>8894581880.9999905</v>
      </c>
      <c r="J115" s="207">
        <f t="shared" si="164"/>
        <v>10115036360</v>
      </c>
      <c r="K115" s="207">
        <f t="shared" si="164"/>
        <v>11433247289</v>
      </c>
      <c r="L115" s="187">
        <f>IF(intermediates!$B$4&gt;=2,(intermediates!$B$4-2)*K115+(1-(intermediates!$B$4-2))*J115,(intermediates!$B$4-1)*J115+(1-(intermediates!$B$4-1))*I115)</f>
        <v>10601798212.232162</v>
      </c>
      <c r="AJ115" s="184">
        <f>IF(intermediates!$B$46=0,$AJ$74+(intermediates!$B$15-$AJ$74)*MIN(1,(data!A115-data!$A$74)/(intermediates!$B$32-data!$A$74)),IF(A115&lt;2021,$AJ$74+(intermediates!$B$15-$AJ$74)*MIN(1,(data!A115-data!$A$74)/(intermediates!$B$32-data!$A$74)),intermediates!$B$47+(intermediates!$B$15-intermediates!$B$47)*MIN(1,(data!A115-$A$77)/(intermediates!$B$32-$A$77))))</f>
        <v>26087.847057892352</v>
      </c>
      <c r="AK115" s="192">
        <f t="shared" si="146"/>
        <v>26087.847057892352</v>
      </c>
      <c r="AL115" s="192">
        <f t="shared" si="185"/>
        <v>276578090299349.22</v>
      </c>
      <c r="AM115" s="192">
        <f>data!AL115/(1000000*conversions!$C$1)</f>
        <v>23706.693454229935</v>
      </c>
      <c r="AN115" s="192">
        <f>IF(intermediates!$B$13=1,($AJ$74+(27400-$AJ$74)*MIN(1,(data!A115-data!$A$74)/(intermediates!$B$32-data!$A$74)))*L115/(1000000*conversions!$C$1),data!AM115)</f>
        <v>23706.693454229935</v>
      </c>
      <c r="AV115" s="214">
        <f>IF(A115&lt;intermediates!$B$29,0,IF(A115&lt;intermediates!$B$31,(data!A115-intermediates!$B$29)*intermediates!$B$26/(intermediates!$B$31-intermediates!$B$29),intermediates!$B$26))</f>
        <v>10</v>
      </c>
      <c r="AW115" s="212">
        <f>MIN(AW114+intermediates!$B$16,intermediates!$B$17*data!$AW$74)</f>
        <v>1897.5897864678325</v>
      </c>
      <c r="AX115" s="212">
        <f>AV115*1000/conversions!$C$16/intermediates!$B$40</f>
        <v>8187.0584968062822</v>
      </c>
      <c r="AY115" s="212">
        <f>AX115*(1-intermediates!$B$39)*intermediates!$B$28/(conversions!$C$2)</f>
        <v>2143.0300372958864</v>
      </c>
      <c r="AZ115" s="213">
        <f>IF(A115&lt;intermediates!$B$29,0,MIN(intermediates!$B$25,intermediates!$B$25*(A115-intermediates!$B$29)/(intermediates!$B$31-intermediates!$B$29)))</f>
        <v>0</v>
      </c>
      <c r="BA115" s="212">
        <f>IF(A115&lt;intermediates!$B$29,data!$BA$74,IF(intermediates!$B$23&gt;data!$BA$74,MIN(intermediates!$B$23,data!$BA$74+(intermediates!$B$23-data!$BA$74)*((data!A115-intermediates!$B$29)/(intermediates!$B$31-intermediates!$B$29))),MAX(intermediates!$B$23,data!$BA$74+(intermediates!$B$23-data!$BA$74)*((data!A115-intermediates!$B$29)/(intermediates!$B$31-intermediates!$B$29)))))</f>
        <v>0.08</v>
      </c>
      <c r="BB115" s="212">
        <f t="shared" si="214"/>
        <v>1896.5354763383948</v>
      </c>
      <c r="BC115" s="212">
        <f t="shared" si="166"/>
        <v>1896.5354763383948</v>
      </c>
      <c r="BD115" s="212">
        <f t="shared" si="167"/>
        <v>0</v>
      </c>
      <c r="BE115" s="214">
        <f>MAX(0,MIN(1,(data!A115-intermediates!$B$29)/(intermediates!$B$31-intermediates!$B$29)))*((intermediates!$B$38*L115)-$BE$69*1000000000)/1000000000+$BE$69</f>
        <v>1325.2247765290201</v>
      </c>
      <c r="BF115" s="214">
        <f t="shared" si="99"/>
        <v>1325.2247765290201</v>
      </c>
      <c r="BG115" s="214">
        <f t="shared" si="168"/>
        <v>0</v>
      </c>
      <c r="BH115" s="214">
        <f>BD115*conversions!$C$2/conversions!$C$17+BG115*conversions!$C$6/conversions!$C$10</f>
        <v>0</v>
      </c>
      <c r="BI115" s="214">
        <f>BH115*intermediates!$B$41*conversions!$C$11/(conversions!$C$2*conversions!$C$6*intermediates!$B$42)</f>
        <v>0</v>
      </c>
      <c r="BJ115" s="214">
        <f>BH115*intermediates!$B$43/(conversions!$C$1*intermediates!$B$42)</f>
        <v>0</v>
      </c>
      <c r="BK115" s="214">
        <f t="shared" si="215"/>
        <v>0</v>
      </c>
      <c r="BL115" s="214">
        <f t="shared" si="216"/>
        <v>23706.693454229935</v>
      </c>
      <c r="BM115" s="214">
        <f t="shared" si="217"/>
        <v>17769.538154127822</v>
      </c>
      <c r="BN115" s="214">
        <f>IF(A115&lt;intermediates!$B$29,MIN(BO114+intermediates!$B$33*AN114),MIN(BO114*intermediates!$B$35,BO114+intermediates!$B$37*AN114))</f>
        <v>18257.460600706596</v>
      </c>
      <c r="BO115" s="212">
        <f>IF(A115&lt;intermediates!$B$29,MIN(BM115,BO114+intermediates!$B$33*AN114),MIN(BM115,BO114*intermediates!$B$35,BO114+intermediates!$B$37*AN114))</f>
        <v>17769.538154127822</v>
      </c>
      <c r="BP115" s="214">
        <f t="shared" si="218"/>
        <v>487.92244657877382</v>
      </c>
      <c r="BQ115" s="214">
        <f t="shared" si="219"/>
        <v>0</v>
      </c>
      <c r="BR115" s="212" t="str">
        <f t="shared" si="186"/>
        <v/>
      </c>
      <c r="BS115" s="212">
        <f>BP115*conversions!$C$1*intermediates!$B$42/intermediates!$B$43</f>
        <v>1088.9826382659462</v>
      </c>
      <c r="BT115" s="214">
        <f>MIN(BT114+BS115,intermediates!$B$27*1000)</f>
        <v>0</v>
      </c>
      <c r="BU115" s="219" t="str">
        <f>IF(AND(BT115=intermediates!$B$27*1000,BT114&lt;&gt;intermediates!$B$27*1000),A115,"")</f>
        <v/>
      </c>
      <c r="BV115" s="212">
        <f>BT115*intermediates!$B$43/(conversions!$C$1*intermediates!$B$42)</f>
        <v>0</v>
      </c>
      <c r="BW115" s="214">
        <f t="shared" si="220"/>
        <v>23706.693454229935</v>
      </c>
      <c r="BX115" s="214">
        <f t="shared" si="221"/>
        <v>17769.538154127822</v>
      </c>
      <c r="BY115" s="227">
        <f>IF(OR(BQ115&gt;0,BT115&lt;&gt;intermediates!$B$27*1000),MAX(0,(BX115-BX114)/AM114),0.000000000001)</f>
        <v>9.9999999999999998E-13</v>
      </c>
      <c r="BZ115" s="322">
        <f>BH115*intermediates!$B$49*1000000</f>
        <v>0</v>
      </c>
      <c r="CA115" s="322">
        <f>BI115*conversions!$C$1*1000000*intermediates!$B$50</f>
        <v>0</v>
      </c>
      <c r="CB115" s="322">
        <f>BT115*1000000*intermediates!$B$49</f>
        <v>0</v>
      </c>
      <c r="CC115" s="214">
        <f>BW115*conversions!$C$1*1000000/L115</f>
        <v>26087.847057892355</v>
      </c>
      <c r="CD115" s="173">
        <f t="shared" si="189"/>
        <v>2059</v>
      </c>
      <c r="CE115" s="173"/>
      <c r="CF115" s="173"/>
      <c r="CG115" s="173"/>
      <c r="CH115" s="173"/>
      <c r="CI115" s="173">
        <f t="shared" si="222"/>
        <v>0</v>
      </c>
      <c r="CJ115" s="173">
        <f t="shared" si="223"/>
        <v>1897.5897864678325</v>
      </c>
      <c r="CK115" s="173">
        <f t="shared" si="224"/>
        <v>1896.5354763383948</v>
      </c>
      <c r="CL115" s="173">
        <f t="shared" si="225"/>
        <v>2143.0300372958864</v>
      </c>
      <c r="CM115" s="173"/>
      <c r="CN115" s="173"/>
      <c r="CO115" s="329">
        <f t="shared" si="169"/>
        <v>17769.538154127822</v>
      </c>
      <c r="CP115" s="174">
        <f t="shared" si="226"/>
        <v>0</v>
      </c>
      <c r="CQ115" s="228">
        <f t="shared" si="227"/>
        <v>10</v>
      </c>
      <c r="CR115" s="228">
        <f t="shared" si="170"/>
        <v>235</v>
      </c>
      <c r="CS115" s="214">
        <f t="shared" ca="1" si="228"/>
        <v>0.3959258880152916</v>
      </c>
      <c r="CT115" s="190">
        <f t="shared" ca="1" si="229"/>
        <v>3.7345163536359284E-2</v>
      </c>
      <c r="CU115" s="190">
        <f t="shared" ca="1" si="187"/>
        <v>0.39592588801529155</v>
      </c>
      <c r="CV115" s="198">
        <f>CV114+CP115</f>
        <v>3203.9310777670239</v>
      </c>
      <c r="CW115" s="198">
        <f t="shared" ca="1" si="171"/>
        <v>3765.4579486661801</v>
      </c>
      <c r="CX115" s="198">
        <f t="shared" ca="1" si="230"/>
        <v>3528.8789459832897</v>
      </c>
      <c r="CY115" s="198">
        <f t="shared" ca="1" si="173"/>
        <v>-236.57900268288981</v>
      </c>
      <c r="CZ115" s="199">
        <f ca="1">IF(CX115&lt;intermediates!$B$55,intermediates!$B$56+(CX115-intermediates!$B$55)*intermediates!$B$53,intermediates!$B$56+(data!CX115-intermediates!$B$55)*intermediates!$B$58)</f>
        <v>1.8880950601468962</v>
      </c>
      <c r="DG115" s="201">
        <f>IF(A115&gt;MAX(intermediates!B$31,intermediates!$B$32),DG114,DG114+intermediates!$B$60*DG$73)</f>
        <v>18697467062500</v>
      </c>
      <c r="DH115" s="201">
        <f>IF(A115&gt;MAX(intermediates!B$31,intermediates!$B$32),DH114,DH114+intermediates!$B$61*DH$73)</f>
        <v>29391282443750</v>
      </c>
      <c r="DI115" s="201">
        <f>IF(A115&gt;MAX(intermediates!B$31,intermediates!$B$32),DI114,DI114+intermediates!$B$62*DI$73)</f>
        <v>38943788726000</v>
      </c>
      <c r="DJ115" s="221"/>
      <c r="EE115" s="218"/>
      <c r="EF115" s="212">
        <f>$EF$69+intermediates!$B$90*(A115-2013)*intermediates!$B$92+intermediates!$B$91*intermediates!$B$92*(A115-2013)^2</f>
        <v>3069.3486285492186</v>
      </c>
      <c r="EH115" s="212">
        <f>IF(A115&lt;intermediates!$B$29,data!EH114,IF(A115&lt;intermediates!$B$31,data!$EH$69+(intermediates!$B$93-data!$EH$69)*(data!A115-intermediates!$B$29)/(intermediates!$B$31-intermediates!$B$29),intermediates!$B$93))</f>
        <v>2.522212345090466E-2</v>
      </c>
      <c r="EI115" s="212">
        <f t="shared" si="128"/>
        <v>2.522212345090466E-2</v>
      </c>
      <c r="EN115" s="218"/>
      <c r="EO115" s="212">
        <f t="shared" si="129"/>
        <v>2991.9331385260853</v>
      </c>
      <c r="EQ115" s="212">
        <f t="shared" si="130"/>
        <v>77.415490023133316</v>
      </c>
      <c r="ET115" s="214">
        <f>IF(A115&lt;intermediates!$B$29,ET114+intermediates!$B$63,ET114+intermediates!$B$63*intermediates!$B$67)</f>
        <v>1244.6286747405986</v>
      </c>
      <c r="EU115" s="215">
        <f t="shared" si="131"/>
        <v>1244.6286747405986</v>
      </c>
      <c r="EV115" s="216">
        <f>data!EU115*conversions!$C$13</f>
        <v>1.4475031487233161</v>
      </c>
      <c r="EX115" s="212">
        <f>intermediates!$B$64+intermediates!$B$64*(EXP(-(data!A115-intermediates!$B$66)/intermediates!$B$65)-1)</f>
        <v>9.2649803533771426E-3</v>
      </c>
      <c r="EY115" s="217">
        <f>IF(A115&lt;intermediates!$B$29,data!EX115,data!EY114+(data!EX115-data!EX114)*intermediates!$B$68)</f>
        <v>9.2649803533771426E-3</v>
      </c>
      <c r="EZ115" s="217">
        <f t="shared" si="132"/>
        <v>9.2649803533771426E-3</v>
      </c>
      <c r="FB115" s="212">
        <f>intermediates!$B$94+intermediates!$B$95+(intermediates!$B$95*(EXP(-(data!A115-intermediates!$B$97)/intermediates!$B$96)-1))</f>
        <v>1.5987155951420262</v>
      </c>
      <c r="FC115" s="217">
        <f>IF(A115&lt;intermediates!$B$29,data!FB115,data!FC114+(data!FB115-data!FB114)*intermediates!$B$68)</f>
        <v>1.5987155951420262</v>
      </c>
      <c r="FD115" s="212">
        <f t="shared" si="133"/>
        <v>1.5987155951420262</v>
      </c>
      <c r="FF115" s="184">
        <f>intermediates!$B$98+intermediates!$B$99*EXP(-(A115-intermediates!$B$101)/intermediates!$B$100)</f>
        <v>0.89226862781789984</v>
      </c>
      <c r="FG115" s="184">
        <f t="shared" si="101"/>
        <v>0.89226862781789984</v>
      </c>
      <c r="FI115" s="184">
        <f>intermediates!$B$102+intermediates!$B$103*EXP(-(A115-intermediates!$B$105)/intermediates!$B$104)</f>
        <v>1.6539954841789575E-2</v>
      </c>
      <c r="FJ115" s="184">
        <f t="shared" si="134"/>
        <v>1.6539954841789575E-2</v>
      </c>
      <c r="FL115" s="184">
        <f>intermediates!$B$106</f>
        <v>4.5616870531049965E-2</v>
      </c>
      <c r="FM115" s="184">
        <f t="shared" si="135"/>
        <v>4.5616870531049965E-2</v>
      </c>
      <c r="FN115" s="218">
        <f>IF(A115&lt;intermediates!$B$29,0,IF(A115&lt;intermediates!$B$31,(data!A115-intermediates!$B$29)/(intermediates!$B$31-intermediates!$B$29),1))</f>
        <v>1</v>
      </c>
      <c r="FO115" s="218">
        <f t="shared" si="232"/>
        <v>299571342360111</v>
      </c>
      <c r="FP115" s="218">
        <f t="shared" si="177"/>
        <v>335741202840149.06</v>
      </c>
      <c r="FQ115" s="218">
        <f t="shared" si="178"/>
        <v>3110635648133.1914</v>
      </c>
      <c r="FR115" s="218">
        <f t="shared" si="179"/>
        <v>536754696912288.63</v>
      </c>
      <c r="FS115" s="218">
        <f t="shared" si="180"/>
        <v>431256894369.84668</v>
      </c>
      <c r="FT115" s="218">
        <f>intermediates!$B$69*data!EU115/intermediates!$B$71</f>
        <v>3.1679954167945485</v>
      </c>
      <c r="FU115" s="218">
        <f>BC115*conversions!$C$1*1000000</f>
        <v>22126247223947.938</v>
      </c>
      <c r="FV115" s="218">
        <f t="shared" si="184"/>
        <v>6984305313905.9746</v>
      </c>
      <c r="FX115" s="221"/>
      <c r="FY115" s="221"/>
      <c r="FZ115" s="221"/>
      <c r="GA115" s="218">
        <f t="shared" si="190"/>
        <v>1325.2247765290201</v>
      </c>
      <c r="GB115" s="218">
        <f>GA115*1000000*10000*intermediates!$B$71/(intermediates!$B$72*data!EU115)</f>
        <v>5228956335856.6719</v>
      </c>
      <c r="GC115" s="218">
        <f t="shared" si="233"/>
        <v>9302174452232.1582</v>
      </c>
      <c r="GD115" s="218">
        <f t="shared" si="144"/>
        <v>21946692996364.652</v>
      </c>
      <c r="GE115" s="218">
        <f t="shared" si="182"/>
        <v>23401239770273.488</v>
      </c>
      <c r="GF115" s="218">
        <f t="shared" si="183"/>
        <v>387055449042.21375</v>
      </c>
      <c r="GG115" s="218">
        <f t="shared" si="136"/>
        <v>1067491324866.6232</v>
      </c>
      <c r="GH115" s="218">
        <f t="shared" si="191"/>
        <v>9542865791295.6309</v>
      </c>
      <c r="GI115" s="218">
        <f t="shared" si="145"/>
        <v>190565555306.37305</v>
      </c>
      <c r="GJ115" s="218">
        <f>ET115*intermediates!$B$73/intermediates!$B$71</f>
        <v>4.7519931251918228</v>
      </c>
      <c r="GK115" s="218">
        <f>CL115*conversions!$C$1*1000000/data!GJ115</f>
        <v>5261374846954.5791</v>
      </c>
      <c r="GL115" s="218">
        <f>MIN(1,FN115)*(intermediates!$B$75-data!$GL$69)+data!$GL$69</f>
        <v>1</v>
      </c>
      <c r="GM115" s="218">
        <f>GL115*intermediates!$B$74*(FS115+GC115+GK115+GG115+GF115+GB115+FV115)</f>
        <v>4299392192584.209</v>
      </c>
      <c r="GN115" s="218">
        <f>MIN(1,FN115)*intermediates!$B$76</f>
        <v>0.12</v>
      </c>
      <c r="GO115" s="218">
        <f t="shared" si="137"/>
        <v>3955440817177.4731</v>
      </c>
      <c r="GP115" s="218">
        <f>IF(A115&gt;intermediates!$B$29,MIN(1,(A115-intermediates!$B$29)/(intermediates!$B$31-intermediates!$B$29))*intermediates!$B$77,0)</f>
        <v>0.15</v>
      </c>
      <c r="GQ115" s="218">
        <f>IF(AND(A115&gt;intermediates!$B$29+intermediates!$B$30,data!GP115&lt;intermediates!$B$77),1,0)</f>
        <v>0</v>
      </c>
      <c r="GR115" s="218">
        <f t="shared" si="192"/>
        <v>7213312425937.5</v>
      </c>
      <c r="GS115" s="218">
        <f t="shared" si="193"/>
        <v>47241395701060.445</v>
      </c>
      <c r="GT115" s="218">
        <f t="shared" si="188"/>
        <v>87032538232250</v>
      </c>
      <c r="GU115" s="218">
        <f t="shared" si="194"/>
        <v>46157101151937.5</v>
      </c>
      <c r="GV115" s="218">
        <f t="shared" si="195"/>
        <v>32962006809812.273</v>
      </c>
      <c r="GW115" s="218">
        <f t="shared" si="196"/>
        <v>847353805189.55469</v>
      </c>
      <c r="GX115" s="218">
        <f>MIN(intermediates!$B$88,FN115*intermediates!$B$87*GO115)</f>
        <v>1977720408588.7366</v>
      </c>
      <c r="GY115" s="218">
        <f t="shared" si="197"/>
        <v>1977720408588.7366</v>
      </c>
      <c r="GZ115" s="218">
        <f>MIN(intermediates!$B$88-GX115,intermediates!$B$87*data!GW115*FN115)</f>
        <v>423676902594.77734</v>
      </c>
      <c r="HA115" s="218">
        <f t="shared" si="138"/>
        <v>423676902594.77734</v>
      </c>
      <c r="HB115" s="218">
        <f t="shared" si="139"/>
        <v>2401397311183.5137</v>
      </c>
      <c r="HC115" s="218">
        <f t="shared" si="198"/>
        <v>5512032959316.7051</v>
      </c>
      <c r="HD115" s="218">
        <f>HC115*intermediates!$B$79/(10000*1000000000)</f>
        <v>365.85680246449959</v>
      </c>
      <c r="HE115" s="218">
        <f>(GV115*intermediates!$B$80+GV115*GL115*intermediates!$B$82)/(10000*1000000000)</f>
        <v>1228.9272597547363</v>
      </c>
      <c r="HF115" s="218">
        <f>GU115*intermediates!$B$78/(10000*1000000000)</f>
        <v>4647.9901960430971</v>
      </c>
      <c r="HG115" s="218">
        <f>HB115*intermediates!$B$81/(10000*1000000000)</f>
        <v>603.62365513284135</v>
      </c>
      <c r="HH115" s="218">
        <f t="shared" si="199"/>
        <v>0</v>
      </c>
      <c r="HI115" s="218">
        <f t="shared" si="200"/>
        <v>12.333055731363515</v>
      </c>
      <c r="HJ115" s="218">
        <f t="shared" si="201"/>
        <v>-4.2381978328775745</v>
      </c>
      <c r="HK115" s="218">
        <f ca="1">SUM(HJ115:INDIRECT(ADDRESS(MAX(CELL("row",HJ115)-intermediates!$B$83,69),CELL("col",HJ115))))/intermediates!$B$83+SUM(HH115:INDIRECT(ADDRESS(MAX(CELL("row",HH115)-intermediates!$B$84,69),CELL("col",HH115))))/intermediates!$B$84+SUM(HI115:INDIRECT(ADDRESS(MAX(CELL("row",HI115)-intermediates!$B$85,69),CELL("col",HI115))))/intermediates!$B$85</f>
        <v>-10.395925888015292</v>
      </c>
      <c r="HL115" s="218">
        <f t="shared" ca="1" si="163"/>
        <v>-559.94786821626417</v>
      </c>
      <c r="HM115" s="188">
        <f t="shared" si="202"/>
        <v>2059</v>
      </c>
      <c r="HQ115" s="185">
        <f t="shared" si="203"/>
        <v>1037.3157784229331</v>
      </c>
      <c r="HR115" s="185">
        <f t="shared" si="204"/>
        <v>658.78496969010496</v>
      </c>
      <c r="HS115" s="185">
        <f t="shared" si="205"/>
        <v>493.21409738053654</v>
      </c>
      <c r="HT115" s="185">
        <f t="shared" si="206"/>
        <v>496.27192874545568</v>
      </c>
      <c r="HU115" s="185">
        <f t="shared" si="207"/>
        <v>405.53424112747666</v>
      </c>
      <c r="HV115" s="185">
        <f t="shared" si="208"/>
        <v>373.09150183727866</v>
      </c>
      <c r="HW115" s="185">
        <f t="shared" si="209"/>
        <v>680.38574980751014</v>
      </c>
      <c r="HX115" s="185">
        <f t="shared" si="210"/>
        <v>17.974833277481359</v>
      </c>
      <c r="HY115" s="185">
        <f t="shared" si="211"/>
        <v>293.40641897373564</v>
      </c>
      <c r="HZ115" s="185">
        <f t="shared" si="140"/>
        <v>4144.5982670112962</v>
      </c>
      <c r="IA115" s="185">
        <f t="shared" si="141"/>
        <v>4455.9795192625133</v>
      </c>
      <c r="IB115" s="185">
        <f t="shared" si="212"/>
        <v>2505.012341580828</v>
      </c>
      <c r="IC115" s="185">
        <f t="shared" si="231"/>
        <v>4535.9049987167336</v>
      </c>
      <c r="ID115" s="185">
        <f t="shared" si="213"/>
        <v>3673.319180992085</v>
      </c>
      <c r="IE115" s="184">
        <f t="shared" si="142"/>
        <v>-0.10652674391332197</v>
      </c>
      <c r="IF115" s="184">
        <f t="shared" si="143"/>
        <v>-2.1758381321122802E-2</v>
      </c>
    </row>
    <row r="116" spans="1:240" x14ac:dyDescent="0.3">
      <c r="A116" s="211">
        <v>2060</v>
      </c>
      <c r="E116" s="207">
        <v>8882879.7990000006</v>
      </c>
      <c r="F116" s="207">
        <v>10151469.683</v>
      </c>
      <c r="G116" s="207">
        <v>11529222.442</v>
      </c>
      <c r="I116" s="207">
        <f t="shared" si="164"/>
        <v>8882879799</v>
      </c>
      <c r="J116" s="207">
        <f t="shared" si="164"/>
        <v>10151469683</v>
      </c>
      <c r="K116" s="207">
        <f t="shared" si="164"/>
        <v>11529222442</v>
      </c>
      <c r="L116" s="187">
        <f>IF(intermediates!$B$4&gt;=2,(intermediates!$B$4-2)*K116+(1-(intermediates!$B$4-2))*J116,(intermediates!$B$4-1)*J116+(1-(intermediates!$B$4-1))*I116)</f>
        <v>10660217919.063829</v>
      </c>
      <c r="AJ116" s="184">
        <f>IF(intermediates!$B$46=0,$AJ$74+(intermediates!$B$15-$AJ$74)*MIN(1,(data!A116-data!$A$74)/(intermediates!$B$32-data!$A$74)),IF(A116&lt;2021,$AJ$74+(intermediates!$B$15-$AJ$74)*MIN(1,(data!A116-data!$A$74)/(intermediates!$B$32-data!$A$74)),intermediates!$B$47+(intermediates!$B$15-intermediates!$B$47)*MIN(1,(data!A116-$A$77)/(intermediates!$B$32-$A$77))))</f>
        <v>26207.133688993046</v>
      </c>
      <c r="AK116" s="192">
        <f t="shared" si="146"/>
        <v>26207.133688993046</v>
      </c>
      <c r="AL116" s="192">
        <f t="shared" si="185"/>
        <v>279373756158705.03</v>
      </c>
      <c r="AM116" s="192">
        <f>data!AL116/(1000000*conversions!$C$1)</f>
        <v>23946.321956460433</v>
      </c>
      <c r="AN116" s="192">
        <f>IF(intermediates!$B$13=1,($AJ$74+(27400-$AJ$74)*MIN(1,(data!A116-data!$A$74)/(intermediates!$B$32-data!$A$74)))*L116/(1000000*conversions!$C$1),data!AM116)</f>
        <v>23946.321956460433</v>
      </c>
      <c r="AV116" s="214">
        <f>IF(A116&lt;intermediates!$B$29,0,IF(A116&lt;intermediates!$B$31,(data!A116-intermediates!$B$29)*intermediates!$B$26/(intermediates!$B$31-intermediates!$B$29),intermediates!$B$26))</f>
        <v>10</v>
      </c>
      <c r="AW116" s="212">
        <f>MIN(AW115+intermediates!$B$16,intermediates!$B$17*data!$AW$74)</f>
        <v>1897.5897864678325</v>
      </c>
      <c r="AX116" s="212">
        <f>AV116*1000/conversions!$C$16/intermediates!$B$40</f>
        <v>8187.0584968062822</v>
      </c>
      <c r="AY116" s="212">
        <f>AX116*(1-intermediates!$B$39)*intermediates!$B$28/(conversions!$C$2)</f>
        <v>2143.0300372958864</v>
      </c>
      <c r="AZ116" s="213">
        <f>IF(A116&lt;intermediates!$B$29,0,MIN(intermediates!$B$25,intermediates!$B$25*(A116-intermediates!$B$29)/(intermediates!$B$31-intermediates!$B$29)))</f>
        <v>0</v>
      </c>
      <c r="BA116" s="212">
        <f>IF(A116&lt;intermediates!$B$29,data!$BA$74,IF(intermediates!$B$23&gt;data!$BA$74,MIN(intermediates!$B$23,data!$BA$74+(intermediates!$B$23-data!$BA$74)*((data!A116-intermediates!$B$29)/(intermediates!$B$31-intermediates!$B$29))),MAX(intermediates!$B$23,data!$BA$74+(intermediates!$B$23-data!$BA$74)*((data!A116-intermediates!$B$29)/(intermediates!$B$31-intermediates!$B$29)))))</f>
        <v>0.08</v>
      </c>
      <c r="BB116" s="212">
        <f t="shared" si="214"/>
        <v>1915.7057565168348</v>
      </c>
      <c r="BC116" s="212">
        <f t="shared" si="166"/>
        <v>1915.7057565168348</v>
      </c>
      <c r="BD116" s="212">
        <f t="shared" si="167"/>
        <v>0</v>
      </c>
      <c r="BE116" s="214">
        <f>MAX(0,MIN(1,(data!A116-intermediates!$B$29)/(intermediates!$B$31-intermediates!$B$29)))*((intermediates!$B$38*L116)-$BE$69*1000000000)/1000000000+$BE$69</f>
        <v>1332.5272398829786</v>
      </c>
      <c r="BF116" s="214">
        <f t="shared" si="99"/>
        <v>1332.5272398829786</v>
      </c>
      <c r="BG116" s="214">
        <f t="shared" si="168"/>
        <v>0</v>
      </c>
      <c r="BH116" s="214">
        <f>BD116*conversions!$C$2/conversions!$C$17+BG116*conversions!$C$6/conversions!$C$10</f>
        <v>0</v>
      </c>
      <c r="BI116" s="214">
        <f>BH116*intermediates!$B$41*conversions!$C$11/(conversions!$C$2*conversions!$C$6*intermediates!$B$42)</f>
        <v>0</v>
      </c>
      <c r="BJ116" s="214">
        <f>BH116*intermediates!$B$43/(conversions!$C$1*intermediates!$B$42)</f>
        <v>0</v>
      </c>
      <c r="BK116" s="214">
        <f t="shared" si="215"/>
        <v>0</v>
      </c>
      <c r="BL116" s="214">
        <f t="shared" si="216"/>
        <v>23946.321956460433</v>
      </c>
      <c r="BM116" s="214">
        <f t="shared" si="217"/>
        <v>17989.996376179879</v>
      </c>
      <c r="BN116" s="214">
        <f>IF(A116&lt;intermediates!$B$29,MIN(BO115+intermediates!$B$33*AN115),MIN(BO115*intermediates!$B$35,BO115+intermediates!$B$37*AN115))</f>
        <v>18480.414825766497</v>
      </c>
      <c r="BO116" s="212">
        <f>IF(A116&lt;intermediates!$B$29,MIN(BM116,BO115+intermediates!$B$33*AN115),MIN(BM116,BO115*intermediates!$B$35,BO115+intermediates!$B$37*AN115))</f>
        <v>17989.996376179879</v>
      </c>
      <c r="BP116" s="214">
        <f t="shared" si="218"/>
        <v>490.4184495866175</v>
      </c>
      <c r="BQ116" s="214">
        <f t="shared" si="219"/>
        <v>0</v>
      </c>
      <c r="BR116" s="212" t="str">
        <f t="shared" si="186"/>
        <v/>
      </c>
      <c r="BS116" s="212">
        <f>BP116*conversions!$C$1*intermediates!$B$42/intermediates!$B$43</f>
        <v>1094.553408702232</v>
      </c>
      <c r="BT116" s="214">
        <f>MIN(BT115+BS116,intermediates!$B$27*1000)</f>
        <v>0</v>
      </c>
      <c r="BU116" s="219" t="str">
        <f>IF(AND(BT116=intermediates!$B$27*1000,BT115&lt;&gt;intermediates!$B$27*1000),A116,"")</f>
        <v/>
      </c>
      <c r="BV116" s="212">
        <f>BT116*intermediates!$B$43/(conversions!$C$1*intermediates!$B$42)</f>
        <v>0</v>
      </c>
      <c r="BW116" s="214">
        <f t="shared" si="220"/>
        <v>23946.321956460433</v>
      </c>
      <c r="BX116" s="214">
        <f t="shared" si="221"/>
        <v>17989.996376179879</v>
      </c>
      <c r="BY116" s="227">
        <f>IF(OR(BQ116&gt;0,BT116&lt;&gt;intermediates!$B$27*1000),MAX(0,(BX116-BX115)/AM115),0.000000000001)</f>
        <v>9.9999999999999998E-13</v>
      </c>
      <c r="BZ116" s="322">
        <f>BH116*intermediates!$B$49*1000000</f>
        <v>0</v>
      </c>
      <c r="CA116" s="322">
        <f>BI116*conversions!$C$1*1000000*intermediates!$B$50</f>
        <v>0</v>
      </c>
      <c r="CB116" s="322">
        <f>BT116*1000000*intermediates!$B$49</f>
        <v>0</v>
      </c>
      <c r="CC116" s="214">
        <f>BW116*conversions!$C$1*1000000/L116</f>
        <v>26207.13368899305</v>
      </c>
      <c r="CD116" s="173">
        <f t="shared" si="189"/>
        <v>2060</v>
      </c>
      <c r="CE116" s="173"/>
      <c r="CF116" s="173"/>
      <c r="CG116" s="173"/>
      <c r="CH116" s="173"/>
      <c r="CI116" s="173">
        <f t="shared" si="222"/>
        <v>0</v>
      </c>
      <c r="CJ116" s="173">
        <f t="shared" si="223"/>
        <v>1897.5897864678325</v>
      </c>
      <c r="CK116" s="173">
        <f t="shared" si="224"/>
        <v>1915.7057565168348</v>
      </c>
      <c r="CL116" s="173">
        <f t="shared" si="225"/>
        <v>2143.0300372958864</v>
      </c>
      <c r="CM116" s="173"/>
      <c r="CN116" s="173"/>
      <c r="CO116" s="329">
        <f t="shared" si="169"/>
        <v>17989.996376179879</v>
      </c>
      <c r="CP116" s="174">
        <f t="shared" si="226"/>
        <v>0</v>
      </c>
      <c r="CQ116" s="228">
        <f t="shared" si="227"/>
        <v>10</v>
      </c>
      <c r="CR116" s="228">
        <f t="shared" si="170"/>
        <v>245</v>
      </c>
      <c r="CS116" s="214">
        <f t="shared" ca="1" si="228"/>
        <v>-1.1032425461158688</v>
      </c>
      <c r="CT116" s="190">
        <f t="shared" ca="1" si="229"/>
        <v>-0.10349155659781809</v>
      </c>
      <c r="CU116" s="190">
        <f t="shared" ca="1" si="187"/>
        <v>-1.1032425461158688</v>
      </c>
      <c r="CV116" s="198">
        <f t="shared" si="174"/>
        <v>3203.9310777670239</v>
      </c>
      <c r="CW116" s="198">
        <f t="shared" ca="1" si="171"/>
        <v>3774.3547061200643</v>
      </c>
      <c r="CX116" s="198">
        <f t="shared" ca="1" si="230"/>
        <v>3527.7757034371739</v>
      </c>
      <c r="CY116" s="198">
        <f t="shared" ca="1" si="173"/>
        <v>-246.57900268288981</v>
      </c>
      <c r="CZ116" s="199">
        <f ca="1">IF(CX116&lt;intermediates!$B$55,intermediates!$B$56+(CX116-intermediates!$B$55)*intermediates!$B$53,intermediates!$B$56+(data!CX116-intermediates!$B$55)*intermediates!$B$58)</f>
        <v>1.8874951171838212</v>
      </c>
      <c r="DG116" s="201">
        <f>IF(A116&gt;MAX(intermediates!B$31,intermediates!$B$32),DG115,DG115+intermediates!$B$60*DG$73)</f>
        <v>18770898003750</v>
      </c>
      <c r="DH116" s="201">
        <f>IF(A116&gt;MAX(intermediates!B$31,intermediates!$B$32),DH115,DH115+intermediates!$B$61*DH$73)</f>
        <v>29313355160625</v>
      </c>
      <c r="DI116" s="201">
        <f>IF(A116&gt;MAX(intermediates!B$31,intermediates!$B$32),DI115,DI115+intermediates!$B$62*DI$73)</f>
        <v>38918847119000</v>
      </c>
      <c r="DJ116" s="221"/>
      <c r="EE116" s="218"/>
      <c r="EF116" s="212">
        <f>$EF$69+intermediates!$B$90*(A116-2013)*intermediates!$B$92+intermediates!$B$91*intermediates!$B$92*(A116-2013)^2</f>
        <v>3073.5347185492187</v>
      </c>
      <c r="EH116" s="212">
        <f>IF(A116&lt;intermediates!$B$29,data!EH115,IF(A116&lt;intermediates!$B$31,data!$EH$69+(intermediates!$B$93-data!$EH$69)*(data!A116-intermediates!$B$29)/(intermediates!$B$31-intermediates!$B$29),intermediates!$B$93))</f>
        <v>2.522212345090466E-2</v>
      </c>
      <c r="EI116" s="212">
        <f t="shared" si="128"/>
        <v>2.522212345090466E-2</v>
      </c>
      <c r="EN116" s="218"/>
      <c r="EO116" s="212">
        <f t="shared" si="129"/>
        <v>2996.0136464473289</v>
      </c>
      <c r="EQ116" s="212">
        <f t="shared" si="130"/>
        <v>77.521072101889786</v>
      </c>
      <c r="ET116" s="214">
        <f>IF(A116&lt;intermediates!$B$29,ET115+intermediates!$B$63,ET115+intermediates!$B$63*intermediates!$B$67)</f>
        <v>1254.6042641320414</v>
      </c>
      <c r="EU116" s="215">
        <f t="shared" si="131"/>
        <v>1254.6042641320414</v>
      </c>
      <c r="EV116" s="216">
        <f>data!EU116*conversions!$C$13</f>
        <v>1.4591047591855641</v>
      </c>
      <c r="EX116" s="212">
        <f>intermediates!$B$64+intermediates!$B$64*(EXP(-(data!A116-intermediates!$B$66)/intermediates!$B$65)-1)</f>
        <v>9.0927398612045528E-3</v>
      </c>
      <c r="EY116" s="217">
        <f>IF(A116&lt;intermediates!$B$29,data!EX116,data!EY115+(data!EX116-data!EX115)*intermediates!$B$68)</f>
        <v>9.0927398612045528E-3</v>
      </c>
      <c r="EZ116" s="217">
        <f t="shared" si="132"/>
        <v>9.0927398612045528E-3</v>
      </c>
      <c r="FB116" s="212">
        <f>intermediates!$B$94+intermediates!$B$95+(intermediates!$B$95*(EXP(-(data!A116-intermediates!$B$97)/intermediates!$B$96)-1))</f>
        <v>1.5960235756012671</v>
      </c>
      <c r="FC116" s="217">
        <f>IF(A116&lt;intermediates!$B$29,data!FB116,data!FC115+(data!FB116-data!FB115)*intermediates!$B$68)</f>
        <v>1.5960235756012671</v>
      </c>
      <c r="FD116" s="212">
        <f t="shared" si="133"/>
        <v>1.5960235756012671</v>
      </c>
      <c r="FF116" s="184">
        <f>intermediates!$B$98+intermediates!$B$99*EXP(-(A116-intermediates!$B$101)/intermediates!$B$100)</f>
        <v>0.89265660354724663</v>
      </c>
      <c r="FG116" s="184">
        <f t="shared" si="101"/>
        <v>0.89265660354724663</v>
      </c>
      <c r="FI116" s="184">
        <f>intermediates!$B$102+intermediates!$B$103*EXP(-(A116-intermediates!$B$105)/intermediates!$B$104)</f>
        <v>1.6436680090438509E-2</v>
      </c>
      <c r="FJ116" s="184">
        <f t="shared" si="134"/>
        <v>1.6436680090438509E-2</v>
      </c>
      <c r="FL116" s="184">
        <f>intermediates!$B$106</f>
        <v>4.5616870531049965E-2</v>
      </c>
      <c r="FM116" s="184">
        <f t="shared" si="135"/>
        <v>4.5616870531049965E-2</v>
      </c>
      <c r="FN116" s="218">
        <f>IF(A116&lt;intermediates!$B$29,0,IF(A116&lt;intermediates!$B$31,(data!A116-intermediates!$B$29)/(intermediates!$B$31-intermediates!$B$29),1))</f>
        <v>1</v>
      </c>
      <c r="FO116" s="218">
        <f t="shared" si="232"/>
        <v>301632905502845.69</v>
      </c>
      <c r="FP116" s="218">
        <f t="shared" si="177"/>
        <v>337904748930567.69</v>
      </c>
      <c r="FQ116" s="218">
        <f t="shared" si="178"/>
        <v>3072479979891.2896</v>
      </c>
      <c r="FR116" s="218">
        <f t="shared" si="179"/>
        <v>539303945600813.06</v>
      </c>
      <c r="FS116" s="218">
        <f t="shared" si="180"/>
        <v>429859806011.35095</v>
      </c>
      <c r="FT116" s="218">
        <f>intermediates!$B$69*data!EU116/intermediates!$B$71</f>
        <v>3.1933866215074733</v>
      </c>
      <c r="FU116" s="218">
        <f>BC116*conversions!$C$1*1000000</f>
        <v>22349900492696.406</v>
      </c>
      <c r="FV116" s="218">
        <f t="shared" si="184"/>
        <v>6998808206363.0273</v>
      </c>
      <c r="FX116" s="221"/>
      <c r="FY116" s="221"/>
      <c r="FZ116" s="221"/>
      <c r="GA116" s="218">
        <f t="shared" si="190"/>
        <v>1332.5272398829786</v>
      </c>
      <c r="GB116" s="218">
        <f>GA116*1000000*10000*intermediates!$B$71/(intermediates!$B$72*data!EU116)</f>
        <v>5215964263880.5527</v>
      </c>
      <c r="GC116" s="218">
        <f t="shared" si="233"/>
        <v>9291717025467.9824</v>
      </c>
      <c r="GD116" s="218">
        <f t="shared" si="144"/>
        <v>21936349301722.914</v>
      </c>
      <c r="GE116" s="218">
        <f t="shared" si="182"/>
        <v>23387635100338.68</v>
      </c>
      <c r="GF116" s="218">
        <f t="shared" si="183"/>
        <v>384415076216.17761</v>
      </c>
      <c r="GG116" s="218">
        <f t="shared" si="136"/>
        <v>1066870722399.5894</v>
      </c>
      <c r="GH116" s="218">
        <f t="shared" si="191"/>
        <v>9532137781339.9688</v>
      </c>
      <c r="GI116" s="218">
        <f t="shared" si="145"/>
        <v>189439050139.36523</v>
      </c>
      <c r="GJ116" s="218">
        <f>ET116*intermediates!$B$73/intermediates!$B$71</f>
        <v>4.79007993226121</v>
      </c>
      <c r="GK116" s="218">
        <f>CL116*conversions!$C$1*1000000/data!GJ116</f>
        <v>5219540687285.1201</v>
      </c>
      <c r="GL116" s="218">
        <f>MIN(1,FN116)*(intermediates!$B$75-data!$GL$69)+data!$GL$69</f>
        <v>1</v>
      </c>
      <c r="GM116" s="218">
        <f>GL116*intermediates!$B$74*(FS116+GC116+GK116+GG116+GF116+GB116+FV116)</f>
        <v>4291076368143.5698</v>
      </c>
      <c r="GN116" s="218">
        <f>MIN(1,FN116)*intermediates!$B$76</f>
        <v>0.12</v>
      </c>
      <c r="GO116" s="218">
        <f t="shared" si="137"/>
        <v>3947790258692.0845</v>
      </c>
      <c r="GP116" s="218">
        <f>IF(A116&gt;intermediates!$B$29,MIN(1,(A116-intermediates!$B$29)/(intermediates!$B$31-intermediates!$B$29))*intermediates!$B$77,0)</f>
        <v>0.15</v>
      </c>
      <c r="GQ116" s="218">
        <f>IF(AND(A116&gt;intermediates!$B$29+intermediates!$B$30,data!GP116&lt;intermediates!$B$77),1,0)</f>
        <v>0</v>
      </c>
      <c r="GR116" s="218">
        <f t="shared" si="192"/>
        <v>7212637974656.25</v>
      </c>
      <c r="GS116" s="218">
        <f t="shared" si="193"/>
        <v>47131160369006.992</v>
      </c>
      <c r="GT116" s="218">
        <f t="shared" si="188"/>
        <v>87003100283375</v>
      </c>
      <c r="GU116" s="218">
        <f t="shared" si="194"/>
        <v>46131485093656.25</v>
      </c>
      <c r="GV116" s="218">
        <f t="shared" si="195"/>
        <v>32898252155767.371</v>
      </c>
      <c r="GW116" s="218">
        <f t="shared" si="196"/>
        <v>953092795368.00781</v>
      </c>
      <c r="GX116" s="218">
        <f>MIN(intermediates!$B$88,FN116*intermediates!$B$87*GO116)</f>
        <v>1973895129346.0422</v>
      </c>
      <c r="GY116" s="218">
        <f t="shared" si="197"/>
        <v>1973895129346.0422</v>
      </c>
      <c r="GZ116" s="218">
        <f>MIN(intermediates!$B$88-GX116,intermediates!$B$87*data!GW116*FN116)</f>
        <v>476546397684.00391</v>
      </c>
      <c r="HA116" s="218">
        <f t="shared" si="138"/>
        <v>476546397684.00391</v>
      </c>
      <c r="HB116" s="218">
        <f t="shared" si="139"/>
        <v>2450441527030.0459</v>
      </c>
      <c r="HC116" s="218">
        <f t="shared" si="198"/>
        <v>5522921506921.3359</v>
      </c>
      <c r="HD116" s="218">
        <f>HC116*intermediates!$B$79/(10000*1000000000)</f>
        <v>366.57952114915105</v>
      </c>
      <c r="HE116" s="218">
        <f>(GV116*intermediates!$B$80+GV116*GL116*intermediates!$B$82)/(10000*1000000000)</f>
        <v>1226.5502857815163</v>
      </c>
      <c r="HF116" s="218">
        <f>GU116*intermediates!$B$78/(10000*1000000000)</f>
        <v>4645.410675562367</v>
      </c>
      <c r="HG116" s="218">
        <f>HB116*intermediates!$B$81/(10000*1000000000)</f>
        <v>615.95158133419841</v>
      </c>
      <c r="HH116" s="218">
        <f t="shared" si="199"/>
        <v>0</v>
      </c>
      <c r="HI116" s="218">
        <f t="shared" si="200"/>
        <v>12.327926201357059</v>
      </c>
      <c r="HJ116" s="218">
        <f t="shared" si="201"/>
        <v>-4.2337757692985178</v>
      </c>
      <c r="HK116" s="218">
        <f ca="1">SUM(HJ116:INDIRECT(ADDRESS(MAX(CELL("row",HJ116)-intermediates!$B$83,69),CELL("col",HJ116))))/intermediates!$B$83+SUM(HH116:INDIRECT(ADDRESS(MAX(CELL("row",HH116)-intermediates!$B$84,69),CELL("col",HH116))))/intermediates!$B$84+SUM(HI116:INDIRECT(ADDRESS(MAX(CELL("row",HI116)-intermediates!$B$85,69),CELL("col",HI116))))/intermediates!$B$85</f>
        <v>-8.8967574538841312</v>
      </c>
      <c r="HL116" s="218">
        <f t="shared" ca="1" si="163"/>
        <v>-568.84462567014828</v>
      </c>
      <c r="HM116" s="188">
        <f t="shared" si="202"/>
        <v>2060</v>
      </c>
      <c r="HQ116" s="185">
        <f t="shared" si="203"/>
        <v>1030.3188605848211</v>
      </c>
      <c r="HR116" s="185">
        <f t="shared" si="204"/>
        <v>656.53519088450832</v>
      </c>
      <c r="HS116" s="185">
        <f t="shared" si="205"/>
        <v>489.29246132508837</v>
      </c>
      <c r="HT116" s="185">
        <f t="shared" si="206"/>
        <v>489.62795384801058</v>
      </c>
      <c r="HU116" s="185">
        <f t="shared" si="207"/>
        <v>402.53176817987679</v>
      </c>
      <c r="HV116" s="185">
        <f t="shared" si="208"/>
        <v>370.32922672548665</v>
      </c>
      <c r="HW116" s="185">
        <f t="shared" si="209"/>
        <v>676.59385853245828</v>
      </c>
      <c r="HX116" s="185">
        <f t="shared" si="210"/>
        <v>17.770654556750525</v>
      </c>
      <c r="HY116" s="185">
        <f t="shared" si="211"/>
        <v>288.21924685017245</v>
      </c>
      <c r="HZ116" s="185">
        <f t="shared" si="140"/>
        <v>4115.2293200802505</v>
      </c>
      <c r="IA116" s="185">
        <f t="shared" si="141"/>
        <v>4421.2192214871739</v>
      </c>
      <c r="IB116" s="185">
        <f t="shared" si="212"/>
        <v>2514.8503273074652</v>
      </c>
      <c r="IC116" s="185">
        <f t="shared" si="231"/>
        <v>4510.6257235497224</v>
      </c>
      <c r="ID116" s="185">
        <f t="shared" si="213"/>
        <v>3650.8491115740549</v>
      </c>
      <c r="IE116" s="184">
        <f t="shared" si="142"/>
        <v>-0.10830258698338743</v>
      </c>
      <c r="IF116" s="184">
        <f t="shared" si="143"/>
        <v>-2.4489235060169631E-2</v>
      </c>
    </row>
    <row r="117" spans="1:240" x14ac:dyDescent="0.3">
      <c r="A117" s="184">
        <v>2061</v>
      </c>
      <c r="E117" s="207">
        <v>8869366.8789999895</v>
      </c>
      <c r="F117" s="207">
        <v>10186837.209000001</v>
      </c>
      <c r="G117" s="207">
        <v>11625455.545</v>
      </c>
      <c r="I117" s="207">
        <f t="shared" si="164"/>
        <v>8869366878.9999886</v>
      </c>
      <c r="J117" s="207">
        <f t="shared" si="164"/>
        <v>10186837209</v>
      </c>
      <c r="K117" s="207">
        <f t="shared" si="164"/>
        <v>11625455545</v>
      </c>
      <c r="L117" s="187">
        <f>IF(intermediates!$B$4&gt;=2,(intermediates!$B$4-2)*K117+(1-(intermediates!$B$4-2))*J117,(intermediates!$B$4-1)*J117+(1-(intermediates!$B$4-1))*I117)</f>
        <v>10718060634.994301</v>
      </c>
      <c r="AJ117" s="184">
        <f>IF(intermediates!$B$46=0,$AJ$74+(intermediates!$B$15-$AJ$74)*MIN(1,(data!A117-data!$A$74)/(intermediates!$B$32-data!$A$74)),IF(A117&lt;2021,$AJ$74+(intermediates!$B$15-$AJ$74)*MIN(1,(data!A117-data!$A$74)/(intermediates!$B$32-data!$A$74)),intermediates!$B$47+(intermediates!$B$15-intermediates!$B$47)*MIN(1,(data!A117-$A$77)/(intermediates!$B$32-$A$77))))</f>
        <v>26326.420320093741</v>
      </c>
      <c r="AK117" s="192">
        <f t="shared" si="146"/>
        <v>26326.420320093741</v>
      </c>
      <c r="AL117" s="192">
        <f t="shared" ref="AL117:AL148" si="234">AK117*L117</f>
        <v>282168169293110.81</v>
      </c>
      <c r="AM117" s="192">
        <f>data!AL117/(1000000*conversions!$C$1)</f>
        <v>24185.843082266641</v>
      </c>
      <c r="AN117" s="192">
        <f>IF(intermediates!$B$13=1,($AJ$74+(27400-$AJ$74)*MIN(1,(data!A117-data!$A$74)/(intermediates!$B$32-data!$A$74)))*L117/(1000000*conversions!$C$1),data!AM117)</f>
        <v>24185.843082266641</v>
      </c>
      <c r="AV117" s="214">
        <f>IF(A117&lt;intermediates!$B$29,0,IF(A117&lt;intermediates!$B$31,(data!A117-intermediates!$B$29)*intermediates!$B$26/(intermediates!$B$31-intermediates!$B$29),intermediates!$B$26))</f>
        <v>10</v>
      </c>
      <c r="AW117" s="212">
        <f>MIN(AW116+intermediates!$B$16,intermediates!$B$17*data!$AW$74)</f>
        <v>1897.5897864678325</v>
      </c>
      <c r="AX117" s="212">
        <f>AV117*1000/conversions!$C$16/intermediates!$B$40</f>
        <v>8187.0584968062822</v>
      </c>
      <c r="AY117" s="212">
        <f>AX117*(1-intermediates!$B$39)*intermediates!$B$28/(conversions!$C$2)</f>
        <v>2143.0300372958864</v>
      </c>
      <c r="AZ117" s="213">
        <f>IF(A117&lt;intermediates!$B$29,0,MIN(intermediates!$B$25,intermediates!$B$25*(A117-intermediates!$B$29)/(intermediates!$B$31-intermediates!$B$29)))</f>
        <v>0</v>
      </c>
      <c r="BA117" s="212">
        <f>IF(A117&lt;intermediates!$B$29,data!$BA$74,IF(intermediates!$B$23&gt;data!$BA$74,MIN(intermediates!$B$23,data!$BA$74+(intermediates!$B$23-data!$BA$74)*((data!A117-intermediates!$B$29)/(intermediates!$B$31-intermediates!$B$29))),MAX(intermediates!$B$23,data!$BA$74+(intermediates!$B$23-data!$BA$74)*((data!A117-intermediates!$B$29)/(intermediates!$B$31-intermediates!$B$29)))))</f>
        <v>0.08</v>
      </c>
      <c r="BB117" s="212">
        <f t="shared" si="214"/>
        <v>1934.8674465813313</v>
      </c>
      <c r="BC117" s="212">
        <f t="shared" si="166"/>
        <v>1934.8674465813313</v>
      </c>
      <c r="BD117" s="212">
        <f t="shared" si="167"/>
        <v>0</v>
      </c>
      <c r="BE117" s="214">
        <f>MAX(0,MIN(1,(data!A117-intermediates!$B$29)/(intermediates!$B$31-intermediates!$B$29)))*((intermediates!$B$38*L117)-$BE$69*1000000000)/1000000000+$BE$69</f>
        <v>1339.7575793742876</v>
      </c>
      <c r="BF117" s="214">
        <f t="shared" si="99"/>
        <v>1339.7575793742876</v>
      </c>
      <c r="BG117" s="214">
        <f t="shared" si="168"/>
        <v>0</v>
      </c>
      <c r="BH117" s="214">
        <f>BD117*conversions!$C$2/conversions!$C$17+BG117*conversions!$C$6/conversions!$C$10</f>
        <v>0</v>
      </c>
      <c r="BI117" s="214">
        <f>BH117*intermediates!$B$41*conversions!$C$11/(conversions!$C$2*conversions!$C$6*intermediates!$B$42)</f>
        <v>0</v>
      </c>
      <c r="BJ117" s="214">
        <f>BH117*intermediates!$B$43/(conversions!$C$1*intermediates!$B$42)</f>
        <v>0</v>
      </c>
      <c r="BK117" s="214">
        <f t="shared" si="215"/>
        <v>0</v>
      </c>
      <c r="BL117" s="214">
        <f t="shared" si="216"/>
        <v>24185.843082266641</v>
      </c>
      <c r="BM117" s="214">
        <f t="shared" si="217"/>
        <v>18210.355811921592</v>
      </c>
      <c r="BN117" s="214">
        <f>IF(A117&lt;intermediates!$B$29,MIN(BO116+intermediates!$B$33*AN116),MIN(BO116*intermediates!$B$35,BO116+intermediates!$B$37*AN116))</f>
        <v>18708.058626542312</v>
      </c>
      <c r="BO117" s="212">
        <f>IF(A117&lt;intermediates!$B$29,MIN(BM117,BO116+intermediates!$B$33*AN116),MIN(BM117,BO116*intermediates!$B$35,BO116+intermediates!$B$37*AN116))</f>
        <v>18210.355811921592</v>
      </c>
      <c r="BP117" s="214">
        <f t="shared" si="218"/>
        <v>497.70281462071944</v>
      </c>
      <c r="BQ117" s="214">
        <f t="shared" si="219"/>
        <v>0</v>
      </c>
      <c r="BR117" s="212" t="str">
        <f t="shared" ref="BR117:BR148" si="235">IF(AND(BQ117&gt;0,BQ118=0),A118,"")</f>
        <v/>
      </c>
      <c r="BS117" s="212">
        <f>BP117*conversions!$C$1*intermediates!$B$42/intermediates!$B$43</f>
        <v>1110.8112117784178</v>
      </c>
      <c r="BT117" s="214">
        <f>MIN(BT116+BS117,intermediates!$B$27*1000)</f>
        <v>0</v>
      </c>
      <c r="BU117" s="219" t="str">
        <f>IF(AND(BT117=intermediates!$B$27*1000,BT116&lt;&gt;intermediates!$B$27*1000),A117,"")</f>
        <v/>
      </c>
      <c r="BV117" s="212">
        <f>BT117*intermediates!$B$43/(conversions!$C$1*intermediates!$B$42)</f>
        <v>0</v>
      </c>
      <c r="BW117" s="214">
        <f t="shared" si="220"/>
        <v>24185.843082266641</v>
      </c>
      <c r="BX117" s="214">
        <f t="shared" si="221"/>
        <v>18210.355811921592</v>
      </c>
      <c r="BY117" s="227">
        <f>IF(OR(BQ117&gt;0,BT117&lt;&gt;intermediates!$B$27*1000),MAX(0,(BX117-BX116)/AM116),0.000000000001)</f>
        <v>9.9999999999999998E-13</v>
      </c>
      <c r="BZ117" s="322">
        <f>BH117*intermediates!$B$49*1000000</f>
        <v>0</v>
      </c>
      <c r="CA117" s="322">
        <f>BI117*conversions!$C$1*1000000*intermediates!$B$50</f>
        <v>0</v>
      </c>
      <c r="CB117" s="322">
        <f>BT117*1000000*intermediates!$B$49</f>
        <v>0</v>
      </c>
      <c r="CC117" s="214">
        <f>BW117*conversions!$C$1*1000000/L117</f>
        <v>26326.420320093745</v>
      </c>
      <c r="CD117" s="173">
        <f t="shared" si="189"/>
        <v>2061</v>
      </c>
      <c r="CE117" s="173"/>
      <c r="CF117" s="173"/>
      <c r="CG117" s="173"/>
      <c r="CH117" s="173"/>
      <c r="CI117" s="173">
        <f t="shared" si="222"/>
        <v>0</v>
      </c>
      <c r="CJ117" s="173">
        <f t="shared" si="223"/>
        <v>1897.5897864678325</v>
      </c>
      <c r="CK117" s="173">
        <f t="shared" si="224"/>
        <v>1934.8674465813313</v>
      </c>
      <c r="CL117" s="173">
        <f t="shared" si="225"/>
        <v>2143.0300372958864</v>
      </c>
      <c r="CM117" s="173"/>
      <c r="CN117" s="173"/>
      <c r="CO117" s="329">
        <f t="shared" si="169"/>
        <v>18210.355811921592</v>
      </c>
      <c r="CP117" s="174">
        <f t="shared" si="226"/>
        <v>0</v>
      </c>
      <c r="CQ117" s="228">
        <f t="shared" si="227"/>
        <v>10</v>
      </c>
      <c r="CR117" s="228">
        <f t="shared" si="170"/>
        <v>255</v>
      </c>
      <c r="CS117" s="214">
        <f t="shared" ca="1" si="228"/>
        <v>-2.5936203792984029</v>
      </c>
      <c r="CT117" s="190">
        <f t="shared" ca="1" si="229"/>
        <v>-0.24198597746594872</v>
      </c>
      <c r="CU117" s="190">
        <f t="shared" ref="CU117:CU148" ca="1" si="236">CT117*L117/1000000000</f>
        <v>-2.5936203792984029</v>
      </c>
      <c r="CV117" s="198">
        <f>CV116+CP117</f>
        <v>3203.9310777670239</v>
      </c>
      <c r="CW117" s="198">
        <f t="shared" ca="1" si="171"/>
        <v>3781.7610857407658</v>
      </c>
      <c r="CX117" s="198">
        <f t="shared" ca="1" si="230"/>
        <v>3525.1820830578754</v>
      </c>
      <c r="CY117" s="198">
        <f t="shared" ca="1" si="173"/>
        <v>-256.57900268288984</v>
      </c>
      <c r="CZ117" s="199">
        <f ca="1">IF(CX117&lt;intermediates!$B$55,intermediates!$B$56+(CX117-intermediates!$B$55)*intermediates!$B$53,intermediates!$B$56+(data!CX117-intermediates!$B$55)*intermediates!$B$58)</f>
        <v>1.8860847072055935</v>
      </c>
      <c r="DG117" s="201">
        <f>IF(A117&gt;MAX(intermediates!B$31,intermediates!$B$32),DG116,DG116+intermediates!$B$60*DG$73)</f>
        <v>18844328945000</v>
      </c>
      <c r="DH117" s="201">
        <f>IF(A117&gt;MAX(intermediates!B$31,intermediates!$B$32),DH116,DH116+intermediates!$B$61*DH$73)</f>
        <v>29235427877500</v>
      </c>
      <c r="DI117" s="201">
        <f>IF(A117&gt;MAX(intermediates!B$31,intermediates!$B$32),DI116,DI116+intermediates!$B$62*DI$73)</f>
        <v>38893905512000</v>
      </c>
      <c r="DJ117" s="221"/>
      <c r="EE117" s="218"/>
      <c r="EF117" s="212">
        <f>$EF$69+intermediates!$B$90*(A117-2013)*intermediates!$B$92+intermediates!$B$91*intermediates!$B$92*(A117-2013)^2</f>
        <v>3077.6394085492184</v>
      </c>
      <c r="EH117" s="212">
        <f>IF(A117&lt;intermediates!$B$29,data!EH116,IF(A117&lt;intermediates!$B$31,data!$EH$69+(intermediates!$B$93-data!$EH$69)*(data!A117-intermediates!$B$29)/(intermediates!$B$31-intermediates!$B$29),intermediates!$B$93))</f>
        <v>2.522212345090466E-2</v>
      </c>
      <c r="EI117" s="212">
        <f t="shared" si="128"/>
        <v>2.522212345090466E-2</v>
      </c>
      <c r="EN117" s="218"/>
      <c r="EO117" s="212">
        <f t="shared" si="129"/>
        <v>3000.0148074494209</v>
      </c>
      <c r="EQ117" s="212">
        <f t="shared" si="130"/>
        <v>77.624601099797474</v>
      </c>
      <c r="ET117" s="214">
        <f>IF(A117&lt;intermediates!$B$29,ET116+intermediates!$B$63,ET116+intermediates!$B$63*intermediates!$B$67)</f>
        <v>1264.5798535234842</v>
      </c>
      <c r="EU117" s="215">
        <f t="shared" si="131"/>
        <v>1264.5798535234842</v>
      </c>
      <c r="EV117" s="216">
        <f>data!EU117*conversions!$C$13</f>
        <v>1.470706369647812</v>
      </c>
      <c r="EX117" s="212">
        <f>intermediates!$B$64+intermediates!$B$64*(EXP(-(data!A117-intermediates!$B$66)/intermediates!$B$65)-1)</f>
        <v>8.9237014035762757E-3</v>
      </c>
      <c r="EY117" s="217">
        <f>IF(A117&lt;intermediates!$B$29,data!EX117,data!EY116+(data!EX117-data!EX116)*intermediates!$B$68)</f>
        <v>8.9237014035762757E-3</v>
      </c>
      <c r="EZ117" s="217">
        <f t="shared" si="132"/>
        <v>8.9237014035762757E-3</v>
      </c>
      <c r="FB117" s="212">
        <f>intermediates!$B$94+intermediates!$B$95+(intermediates!$B$95*(EXP(-(data!A117-intermediates!$B$97)/intermediates!$B$96)-1))</f>
        <v>1.5934049686676792</v>
      </c>
      <c r="FC117" s="217">
        <f>IF(A117&lt;intermediates!$B$29,data!FB117,data!FC116+(data!FB117-data!FB116)*intermediates!$B$68)</f>
        <v>1.5934049686676792</v>
      </c>
      <c r="FD117" s="212">
        <f t="shared" si="133"/>
        <v>1.5934049686676792</v>
      </c>
      <c r="FF117" s="184">
        <f>intermediates!$B$98+intermediates!$B$99*EXP(-(A117-intermediates!$B$101)/intermediates!$B$100)</f>
        <v>0.89303609007648999</v>
      </c>
      <c r="FG117" s="184">
        <f t="shared" si="101"/>
        <v>0.89303609007648999</v>
      </c>
      <c r="FI117" s="184">
        <f>intermediates!$B$102+intermediates!$B$103*EXP(-(A117-intermediates!$B$105)/intermediates!$B$104)</f>
        <v>1.6336112394039825E-2</v>
      </c>
      <c r="FJ117" s="184">
        <f t="shared" si="134"/>
        <v>1.6336112394039825E-2</v>
      </c>
      <c r="FL117" s="184">
        <f>intermediates!$B$106</f>
        <v>4.5616870531049965E-2</v>
      </c>
      <c r="FM117" s="184">
        <f t="shared" si="135"/>
        <v>4.5616870531049965E-2</v>
      </c>
      <c r="FN117" s="218">
        <f>IF(A117&lt;intermediates!$B$29,0,IF(A117&lt;intermediates!$B$31,(data!A117-intermediates!$B$29)/(intermediates!$B$31-intermediates!$B$29),1))</f>
        <v>1</v>
      </c>
      <c r="FO117" s="218">
        <f t="shared" si="232"/>
        <v>303674591194529.25</v>
      </c>
      <c r="FP117" s="218">
        <f t="shared" si="177"/>
        <v>340047389538892</v>
      </c>
      <c r="FQ117" s="218">
        <f t="shared" si="178"/>
        <v>3034481367310.6592</v>
      </c>
      <c r="FR117" s="218">
        <f t="shared" si="179"/>
        <v>541833200073744.31</v>
      </c>
      <c r="FS117" s="218">
        <f t="shared" si="180"/>
        <v>428468948452.75348</v>
      </c>
      <c r="FT117" s="218">
        <f>intermediates!$B$69*data!EU117/intermediates!$B$71</f>
        <v>3.2187778262203985</v>
      </c>
      <c r="FU117" s="218">
        <f>BC117*conversions!$C$1*1000000</f>
        <v>22573453543448.863</v>
      </c>
      <c r="FV117" s="218">
        <f t="shared" si="184"/>
        <v>7013051152385.8115</v>
      </c>
      <c r="FX117" s="221"/>
      <c r="FY117" s="221"/>
      <c r="FZ117" s="221"/>
      <c r="GA117" s="218">
        <f t="shared" si="190"/>
        <v>1339.7575793742876</v>
      </c>
      <c r="GB117" s="218">
        <f>GA117*1000000*10000*intermediates!$B$71/(intermediates!$B$72*data!EU117)</f>
        <v>5202897076572.5303</v>
      </c>
      <c r="GC117" s="218">
        <f t="shared" si="233"/>
        <v>9280817095673.5684</v>
      </c>
      <c r="GD117" s="218">
        <f t="shared" si="144"/>
        <v>21925234273084.664</v>
      </c>
      <c r="GE117" s="218">
        <f t="shared" si="182"/>
        <v>23373278603298.16</v>
      </c>
      <c r="GF117" s="218">
        <f t="shared" si="183"/>
        <v>381828506280.68494</v>
      </c>
      <c r="GG117" s="218">
        <f t="shared" si="136"/>
        <v>1066215823932.8125</v>
      </c>
      <c r="GH117" s="218">
        <f t="shared" si="191"/>
        <v>9520955818703.5195</v>
      </c>
      <c r="GI117" s="218">
        <f t="shared" si="145"/>
        <v>188330225422.80273</v>
      </c>
      <c r="GJ117" s="218">
        <f>ET117*intermediates!$B$73/intermediates!$B$71</f>
        <v>4.8281667393305971</v>
      </c>
      <c r="GK117" s="218">
        <f>CL117*conversions!$C$1*1000000/data!GJ117</f>
        <v>5178366541925.1348</v>
      </c>
      <c r="GL117" s="218">
        <f>MIN(1,FN117)*(intermediates!$B$75-data!$GL$69)+data!$GL$69</f>
        <v>1</v>
      </c>
      <c r="GM117" s="218">
        <f>GL117*intermediates!$B$74*(FS117+GC117+GK117+GG117+GF117+GB117+FV117)</f>
        <v>4282746771783.4941</v>
      </c>
      <c r="GN117" s="218">
        <f>MIN(1,FN117)*intermediates!$B$76</f>
        <v>0.12</v>
      </c>
      <c r="GO117" s="218">
        <f t="shared" si="137"/>
        <v>3940127030040.8149</v>
      </c>
      <c r="GP117" s="218">
        <f>IF(A117&gt;intermediates!$B$29,MIN(1,(A117-intermediates!$B$29)/(intermediates!$B$31-intermediates!$B$29))*intermediates!$B$77,0)</f>
        <v>0.15</v>
      </c>
      <c r="GQ117" s="218">
        <f>IF(AND(A117&gt;intermediates!$B$29+intermediates!$B$30,data!GP117&lt;intermediates!$B$77),1,0)</f>
        <v>0</v>
      </c>
      <c r="GR117" s="218">
        <f t="shared" si="192"/>
        <v>7211963523375</v>
      </c>
      <c r="GS117" s="218">
        <f t="shared" si="193"/>
        <v>47020963837733.258</v>
      </c>
      <c r="GT117" s="218">
        <f t="shared" si="188"/>
        <v>86973662334500</v>
      </c>
      <c r="GU117" s="218">
        <f t="shared" si="194"/>
        <v>46105869035375</v>
      </c>
      <c r="GV117" s="218">
        <f t="shared" si="195"/>
        <v>32834391917006.789</v>
      </c>
      <c r="GW117" s="218">
        <f t="shared" si="196"/>
        <v>1058792984766.7422</v>
      </c>
      <c r="GX117" s="218">
        <f>MIN(intermediates!$B$88,FN117*intermediates!$B$87*GO117)</f>
        <v>1970063515020.4075</v>
      </c>
      <c r="GY117" s="218">
        <f t="shared" si="197"/>
        <v>1970063515020.4075</v>
      </c>
      <c r="GZ117" s="218">
        <f>MIN(intermediates!$B$88-GX117,intermediates!$B$87*data!GW117*FN117)</f>
        <v>529396492383.37109</v>
      </c>
      <c r="HA117" s="218">
        <f t="shared" si="138"/>
        <v>529396492383.37109</v>
      </c>
      <c r="HB117" s="218">
        <f t="shared" si="139"/>
        <v>2499460007403.7783</v>
      </c>
      <c r="HC117" s="218">
        <f t="shared" si="198"/>
        <v>5533941374714.4375</v>
      </c>
      <c r="HD117" s="218">
        <f>HC117*intermediates!$B$79/(10000*1000000000)</f>
        <v>367.31095610683781</v>
      </c>
      <c r="HE117" s="218">
        <f>(GV117*intermediates!$B$80+GV117*GL117*intermediates!$B$82)/(10000*1000000000)</f>
        <v>1224.1693752780955</v>
      </c>
      <c r="HF117" s="218">
        <f>GU117*intermediates!$B$78/(10000*1000000000)</f>
        <v>4642.8311550816379</v>
      </c>
      <c r="HG117" s="218">
        <f>HB117*intermediates!$B$81/(10000*1000000000)</f>
        <v>628.27303857680147</v>
      </c>
      <c r="HH117" s="218">
        <f t="shared" si="199"/>
        <v>0</v>
      </c>
      <c r="HI117" s="218">
        <f t="shared" si="200"/>
        <v>12.32145724260306</v>
      </c>
      <c r="HJ117" s="218">
        <f t="shared" si="201"/>
        <v>-4.2289960264632214</v>
      </c>
      <c r="HK117" s="218">
        <f ca="1">SUM(HJ117:INDIRECT(ADDRESS(MAX(CELL("row",HJ117)-intermediates!$B$83,69),CELL("col",HJ117))))/intermediates!$B$83+SUM(HH117:INDIRECT(ADDRESS(MAX(CELL("row",HH117)-intermediates!$B$84,69),CELL("col",HH117))))/intermediates!$B$84+SUM(HI117:INDIRECT(ADDRESS(MAX(CELL("row",HI117)-intermediates!$B$85,69),CELL("col",HI117))))/intermediates!$B$85</f>
        <v>-7.4063796207015971</v>
      </c>
      <c r="HL117" s="218">
        <f t="shared" ca="1" si="163"/>
        <v>-576.25100529084989</v>
      </c>
      <c r="HM117" s="188">
        <f t="shared" si="202"/>
        <v>2061</v>
      </c>
      <c r="HQ117" s="185">
        <f t="shared" si="203"/>
        <v>1023.4127723725879</v>
      </c>
      <c r="HR117" s="185">
        <f t="shared" si="204"/>
        <v>654.32090666554996</v>
      </c>
      <c r="HS117" s="185">
        <f t="shared" si="205"/>
        <v>485.43269661912086</v>
      </c>
      <c r="HT117" s="185">
        <f t="shared" si="206"/>
        <v>483.14398642398504</v>
      </c>
      <c r="HU117" s="185">
        <f t="shared" si="207"/>
        <v>399.5822488445711</v>
      </c>
      <c r="HV117" s="185">
        <f t="shared" si="208"/>
        <v>367.61566893700541</v>
      </c>
      <c r="HW117" s="185">
        <f t="shared" si="209"/>
        <v>672.87952260953364</v>
      </c>
      <c r="HX117" s="185">
        <f t="shared" si="210"/>
        <v>17.571296882563576</v>
      </c>
      <c r="HY117" s="185">
        <f t="shared" si="211"/>
        <v>283.11851095552908</v>
      </c>
      <c r="HZ117" s="185">
        <f t="shared" si="140"/>
        <v>4086.387802472354</v>
      </c>
      <c r="IA117" s="185">
        <f t="shared" si="141"/>
        <v>4387.0776103104463</v>
      </c>
      <c r="IB117" s="185">
        <f t="shared" si="212"/>
        <v>2524.6883130341025</v>
      </c>
      <c r="IC117" s="185">
        <f t="shared" si="231"/>
        <v>4485.8634840635577</v>
      </c>
      <c r="ID117" s="185">
        <f t="shared" si="213"/>
        <v>3628.8193206345563</v>
      </c>
      <c r="IE117" s="184">
        <f t="shared" si="142"/>
        <v>-0.11008420268258193</v>
      </c>
      <c r="IF117" s="184">
        <f t="shared" si="143"/>
        <v>-2.7222593638483266E-2</v>
      </c>
    </row>
    <row r="118" spans="1:240" x14ac:dyDescent="0.3">
      <c r="A118" s="211">
        <v>2062</v>
      </c>
      <c r="E118" s="207">
        <v>8854084.4020000007</v>
      </c>
      <c r="F118" s="207">
        <v>10221149.039999999</v>
      </c>
      <c r="G118" s="207">
        <v>11721923.103</v>
      </c>
      <c r="I118" s="207">
        <f t="shared" si="164"/>
        <v>8854084402</v>
      </c>
      <c r="J118" s="207">
        <f t="shared" si="164"/>
        <v>10221149040</v>
      </c>
      <c r="K118" s="207">
        <f t="shared" si="164"/>
        <v>11721923103</v>
      </c>
      <c r="L118" s="187">
        <f>IF(intermediates!$B$4&gt;=2,(intermediates!$B$4-2)*K118+(1-(intermediates!$B$4-2))*J118,(intermediates!$B$4-1)*J118+(1-(intermediates!$B$4-1))*I118)</f>
        <v>10775324056.013592</v>
      </c>
      <c r="AJ118" s="184">
        <f>IF(intermediates!$B$46=0,$AJ$74+(intermediates!$B$15-$AJ$74)*MIN(1,(data!A118-data!$A$74)/(intermediates!$B$32-data!$A$74)),IF(A118&lt;2021,$AJ$74+(intermediates!$B$15-$AJ$74)*MIN(1,(data!A118-data!$A$74)/(intermediates!$B$32-data!$A$74)),intermediates!$B$47+(intermediates!$B$15-intermediates!$B$47)*MIN(1,(data!A118-$A$77)/(intermediates!$B$32-$A$77))))</f>
        <v>26445.706951194436</v>
      </c>
      <c r="AK118" s="192">
        <f t="shared" si="146"/>
        <v>26445.706951194436</v>
      </c>
      <c r="AL118" s="192">
        <f t="shared" si="234"/>
        <v>284961062289491.25</v>
      </c>
      <c r="AM118" s="192">
        <f>data!AL118/(1000000*conversions!$C$1)</f>
        <v>24425.233910527822</v>
      </c>
      <c r="AN118" s="192">
        <f>IF(intermediates!$B$13=1,($AJ$74+(27400-$AJ$74)*MIN(1,(data!A118-data!$A$74)/(intermediates!$B$32-data!$A$74)))*L118/(1000000*conversions!$C$1),data!AM118)</f>
        <v>24425.233910527822</v>
      </c>
      <c r="AV118" s="214">
        <f>IF(A118&lt;intermediates!$B$29,0,IF(A118&lt;intermediates!$B$31,(data!A118-intermediates!$B$29)*intermediates!$B$26/(intermediates!$B$31-intermediates!$B$29),intermediates!$B$26))</f>
        <v>10</v>
      </c>
      <c r="AW118" s="212">
        <f>MIN(AW117+intermediates!$B$16,intermediates!$B$17*data!$AW$74)</f>
        <v>1897.5897864678325</v>
      </c>
      <c r="AX118" s="212">
        <f>AV118*1000/conversions!$C$16/intermediates!$B$40</f>
        <v>8187.0584968062822</v>
      </c>
      <c r="AY118" s="212">
        <f>AX118*(1-intermediates!$B$39)*intermediates!$B$28/(conversions!$C$2)</f>
        <v>2143.0300372958864</v>
      </c>
      <c r="AZ118" s="213">
        <f>IF(A118&lt;intermediates!$B$29,0,MIN(intermediates!$B$25,intermediates!$B$25*(A118-intermediates!$B$29)/(intermediates!$B$31-intermediates!$B$29)))</f>
        <v>0</v>
      </c>
      <c r="BA118" s="212">
        <f>IF(A118&lt;intermediates!$B$29,data!$BA$74,IF(intermediates!$B$23&gt;data!$BA$74,MIN(intermediates!$B$23,data!$BA$74+(intermediates!$B$23-data!$BA$74)*((data!A118-intermediates!$B$29)/(intermediates!$B$31-intermediates!$B$29))),MAX(intermediates!$B$23,data!$BA$74+(intermediates!$B$23-data!$BA$74)*((data!A118-intermediates!$B$29)/(intermediates!$B$31-intermediates!$B$29)))))</f>
        <v>0.08</v>
      </c>
      <c r="BB118" s="212">
        <f t="shared" si="214"/>
        <v>1954.0187128422258</v>
      </c>
      <c r="BC118" s="212">
        <f t="shared" si="166"/>
        <v>1954.0187128422258</v>
      </c>
      <c r="BD118" s="212">
        <f t="shared" si="167"/>
        <v>0</v>
      </c>
      <c r="BE118" s="214">
        <f>MAX(0,MIN(1,(data!A118-intermediates!$B$29)/(intermediates!$B$31-intermediates!$B$29)))*((intermediates!$B$38*L118)-$BE$69*1000000000)/1000000000+$BE$69</f>
        <v>1346.9155070016989</v>
      </c>
      <c r="BF118" s="214">
        <f t="shared" si="99"/>
        <v>1346.9155070016989</v>
      </c>
      <c r="BG118" s="214">
        <f t="shared" si="168"/>
        <v>0</v>
      </c>
      <c r="BH118" s="214">
        <f>BD118*conversions!$C$2/conversions!$C$17+BG118*conversions!$C$6/conversions!$C$10</f>
        <v>0</v>
      </c>
      <c r="BI118" s="214">
        <f>BH118*intermediates!$B$41*conversions!$C$11/(conversions!$C$2*conversions!$C$6*intermediates!$B$42)</f>
        <v>0</v>
      </c>
      <c r="BJ118" s="214">
        <f>BH118*intermediates!$B$43/(conversions!$C$1*intermediates!$B$42)</f>
        <v>0</v>
      </c>
      <c r="BK118" s="214">
        <f t="shared" si="215"/>
        <v>0</v>
      </c>
      <c r="BL118" s="214">
        <f t="shared" si="216"/>
        <v>24425.233910527822</v>
      </c>
      <c r="BM118" s="214">
        <f t="shared" si="217"/>
        <v>18430.595373921878</v>
      </c>
      <c r="BN118" s="214">
        <f>IF(A118&lt;intermediates!$B$29,MIN(BO117+intermediates!$B$33*AN117),MIN(BO117*intermediates!$B$35,BO117+intermediates!$B$37*AN117))</f>
        <v>18935.600421183168</v>
      </c>
      <c r="BO118" s="212">
        <f>IF(A118&lt;intermediates!$B$29,MIN(BM118,BO117+intermediates!$B$33*AN117),MIN(BM118,BO117*intermediates!$B$35,BO117+intermediates!$B$37*AN117))</f>
        <v>18430.595373921878</v>
      </c>
      <c r="BP118" s="214">
        <f t="shared" si="218"/>
        <v>505.00504726128929</v>
      </c>
      <c r="BQ118" s="214">
        <f t="shared" si="219"/>
        <v>0</v>
      </c>
      <c r="BR118" s="212" t="str">
        <f t="shared" si="235"/>
        <v/>
      </c>
      <c r="BS118" s="212">
        <f>BP118*conversions!$C$1*intermediates!$B$42/intermediates!$B$43</f>
        <v>1127.1088931454417</v>
      </c>
      <c r="BT118" s="214">
        <f>MIN(BT117+BS118,intermediates!$B$27*1000)</f>
        <v>0</v>
      </c>
      <c r="BU118" s="219" t="str">
        <f>IF(AND(BT118=intermediates!$B$27*1000,BT117&lt;&gt;intermediates!$B$27*1000),A118,"")</f>
        <v/>
      </c>
      <c r="BV118" s="212">
        <f>BT118*intermediates!$B$43/(conversions!$C$1*intermediates!$B$42)</f>
        <v>0</v>
      </c>
      <c r="BW118" s="214">
        <f t="shared" si="220"/>
        <v>24425.233910527822</v>
      </c>
      <c r="BX118" s="214">
        <f t="shared" si="221"/>
        <v>18430.595373921878</v>
      </c>
      <c r="BY118" s="227">
        <f>IF(OR(BQ118&gt;0,BT118&lt;&gt;intermediates!$B$27*1000),MAX(0,(BX118-BX117)/AM117),0.000000000001)</f>
        <v>9.9999999999999998E-13</v>
      </c>
      <c r="BZ118" s="322">
        <f>BH118*intermediates!$B$49*1000000</f>
        <v>0</v>
      </c>
      <c r="CA118" s="322">
        <f>BI118*conversions!$C$1*1000000*intermediates!$B$50</f>
        <v>0</v>
      </c>
      <c r="CB118" s="322">
        <f>BT118*1000000*intermediates!$B$49</f>
        <v>0</v>
      </c>
      <c r="CC118" s="214">
        <f>BW118*conversions!$C$1*1000000/L118</f>
        <v>26445.706951194436</v>
      </c>
      <c r="CD118" s="173">
        <f t="shared" si="189"/>
        <v>2062</v>
      </c>
      <c r="CE118" s="173"/>
      <c r="CF118" s="173"/>
      <c r="CG118" s="173"/>
      <c r="CH118" s="173"/>
      <c r="CI118" s="173">
        <f t="shared" si="222"/>
        <v>0</v>
      </c>
      <c r="CJ118" s="173">
        <f t="shared" si="223"/>
        <v>1897.5897864678325</v>
      </c>
      <c r="CK118" s="173">
        <f t="shared" si="224"/>
        <v>1954.0187128422258</v>
      </c>
      <c r="CL118" s="173">
        <f t="shared" si="225"/>
        <v>2143.0300372958864</v>
      </c>
      <c r="CM118" s="173"/>
      <c r="CN118" s="173"/>
      <c r="CO118" s="329">
        <f t="shared" si="169"/>
        <v>18430.595373921878</v>
      </c>
      <c r="CP118" s="174">
        <f t="shared" si="226"/>
        <v>0</v>
      </c>
      <c r="CQ118" s="228">
        <f t="shared" si="227"/>
        <v>10</v>
      </c>
      <c r="CR118" s="228">
        <f t="shared" si="170"/>
        <v>265</v>
      </c>
      <c r="CS118" s="214">
        <f t="shared" ca="1" si="228"/>
        <v>-4.0731334276090756</v>
      </c>
      <c r="CT118" s="190">
        <f t="shared" ca="1" si="229"/>
        <v>-0.37800565499799554</v>
      </c>
      <c r="CU118" s="190">
        <f ca="1">CT118*L118/1000000000</f>
        <v>-4.0731334276090756</v>
      </c>
      <c r="CV118" s="198">
        <f t="shared" si="174"/>
        <v>3203.9310777670239</v>
      </c>
      <c r="CW118" s="198">
        <f t="shared" ca="1" si="171"/>
        <v>3787.6879523131565</v>
      </c>
      <c r="CX118" s="198">
        <f t="shared" ca="1" si="230"/>
        <v>3521.1089496302661</v>
      </c>
      <c r="CY118" s="198">
        <f t="shared" ca="1" si="173"/>
        <v>-266.57900268288984</v>
      </c>
      <c r="CZ118" s="199">
        <f ca="1">IF(CX118&lt;intermediates!$B$55,intermediates!$B$56+(CX118-intermediates!$B$55)*intermediates!$B$53,intermediates!$B$56+(data!CX118-intermediates!$B$55)*intermediates!$B$58)</f>
        <v>1.8838697384789413</v>
      </c>
      <c r="DG118" s="201">
        <f>IF(A118&gt;MAX(intermediates!B$31,intermediates!$B$32),DG117,DG117+intermediates!$B$60*DG$73)</f>
        <v>18917759886250</v>
      </c>
      <c r="DH118" s="201">
        <f>IF(A118&gt;MAX(intermediates!B$31,intermediates!$B$32),DH117,DH117+intermediates!$B$61*DH$73)</f>
        <v>29157500594375</v>
      </c>
      <c r="DI118" s="201">
        <f>IF(A118&gt;MAX(intermediates!B$31,intermediates!$B$32),DI117,DI117+intermediates!$B$62*DI$73)</f>
        <v>38868963905000</v>
      </c>
      <c r="DJ118" s="221"/>
      <c r="EE118" s="218"/>
      <c r="EF118" s="212">
        <f>$EF$69+intermediates!$B$90*(A118-2013)*intermediates!$B$92+intermediates!$B$91*intermediates!$B$92*(A118-2013)^2</f>
        <v>3081.6626985492189</v>
      </c>
      <c r="EH118" s="212">
        <f>IF(A118&lt;intermediates!$B$29,data!EH117,IF(A118&lt;intermediates!$B$31,data!$EH$69+(intermediates!$B$93-data!$EH$69)*(data!A118-intermediates!$B$29)/(intermediates!$B$31-intermediates!$B$29),intermediates!$B$93))</f>
        <v>2.522212345090466E-2</v>
      </c>
      <c r="EI118" s="212">
        <f t="shared" si="128"/>
        <v>2.522212345090466E-2</v>
      </c>
      <c r="EN118" s="218"/>
      <c r="EO118" s="212">
        <f t="shared" si="129"/>
        <v>3003.9366215323626</v>
      </c>
      <c r="EQ118" s="212">
        <f t="shared" si="130"/>
        <v>77.726077016856379</v>
      </c>
      <c r="ET118" s="214">
        <f>IF(A118&lt;intermediates!$B$29,ET117+intermediates!$B$63,ET117+intermediates!$B$63*intermediates!$B$67)</f>
        <v>1274.555442914927</v>
      </c>
      <c r="EU118" s="215">
        <f t="shared" si="131"/>
        <v>1274.555442914927</v>
      </c>
      <c r="EV118" s="216">
        <f>data!EU118*conversions!$C$13</f>
        <v>1.48230798011006</v>
      </c>
      <c r="EX118" s="212">
        <f>intermediates!$B$64+intermediates!$B$64*(EXP(-(data!A118-intermediates!$B$66)/intermediates!$B$65)-1)</f>
        <v>8.7578054531123398E-3</v>
      </c>
      <c r="EY118" s="217">
        <f>IF(A118&lt;intermediates!$B$29,data!EX118,data!EY117+(data!EX118-data!EX117)*intermediates!$B$68)</f>
        <v>8.7578054531123398E-3</v>
      </c>
      <c r="EZ118" s="217">
        <f t="shared" si="132"/>
        <v>8.7578054531123398E-3</v>
      </c>
      <c r="FB118" s="212">
        <f>intermediates!$B$94+intermediates!$B$95+(intermediates!$B$95*(EXP(-(data!A118-intermediates!$B$97)/intermediates!$B$96)-1))</f>
        <v>1.5908577723458053</v>
      </c>
      <c r="FC118" s="217">
        <f>IF(A118&lt;intermediates!$B$29,data!FB118,data!FC117+(data!FB118-data!FB117)*intermediates!$B$68)</f>
        <v>1.5908577723458053</v>
      </c>
      <c r="FD118" s="212">
        <f t="shared" si="133"/>
        <v>1.5908577723458053</v>
      </c>
      <c r="FF118" s="184">
        <f>intermediates!$B$98+intermediates!$B$99*EXP(-(A118-intermediates!$B$101)/intermediates!$B$100)</f>
        <v>0.89340727315569879</v>
      </c>
      <c r="FG118" s="184">
        <f t="shared" si="101"/>
        <v>0.89340727315569879</v>
      </c>
      <c r="FI118" s="184">
        <f>intermediates!$B$102+intermediates!$B$103*EXP(-(A118-intermediates!$B$105)/intermediates!$B$104)</f>
        <v>1.6238180794819045E-2</v>
      </c>
      <c r="FJ118" s="184">
        <f t="shared" si="134"/>
        <v>1.6238180794819045E-2</v>
      </c>
      <c r="FL118" s="184">
        <f>intermediates!$B$106</f>
        <v>4.5616870531049965E-2</v>
      </c>
      <c r="FM118" s="184">
        <f t="shared" si="135"/>
        <v>4.5616870531049965E-2</v>
      </c>
      <c r="FN118" s="218">
        <f>IF(A118&lt;intermediates!$B$29,0,IF(A118&lt;intermediates!$B$31,(data!A118-intermediates!$B$29)/(intermediates!$B$31-intermediates!$B$29),1))</f>
        <v>1</v>
      </c>
      <c r="FO118" s="218">
        <f t="shared" si="232"/>
        <v>305696138622643.69</v>
      </c>
      <c r="FP118" s="218">
        <f t="shared" si="177"/>
        <v>342168849311984.94</v>
      </c>
      <c r="FQ118" s="218">
        <f t="shared" si="178"/>
        <v>2996648214389.6763</v>
      </c>
      <c r="FR118" s="218">
        <f t="shared" si="179"/>
        <v>544341973382591.88</v>
      </c>
      <c r="FS118" s="218">
        <f t="shared" si="180"/>
        <v>427083793340.26758</v>
      </c>
      <c r="FT118" s="218">
        <f>intermediates!$B$69*data!EU118/intermediates!$B$71</f>
        <v>3.2441690309333233</v>
      </c>
      <c r="FU118" s="218">
        <f>BC118*conversions!$C$1*1000000</f>
        <v>22796884983159.301</v>
      </c>
      <c r="FV118" s="218">
        <f t="shared" si="184"/>
        <v>7027033661251.8633</v>
      </c>
      <c r="FX118" s="221"/>
      <c r="FY118" s="221"/>
      <c r="FZ118" s="221"/>
      <c r="GA118" s="218">
        <f t="shared" si="190"/>
        <v>1346.9155070016989</v>
      </c>
      <c r="GB118" s="218">
        <f>GA118*1000000*10000*intermediates!$B$71/(intermediates!$B$72*data!EU118)</f>
        <v>5189755427964.7129</v>
      </c>
      <c r="GC118" s="218">
        <f t="shared" si="233"/>
        <v>9269477144399.0469</v>
      </c>
      <c r="GD118" s="218">
        <f t="shared" si="144"/>
        <v>21913350026955.891</v>
      </c>
      <c r="GE118" s="218">
        <f t="shared" si="182"/>
        <v>23358170885987.039</v>
      </c>
      <c r="GF118" s="218">
        <f t="shared" si="183"/>
        <v>379294201882.9361</v>
      </c>
      <c r="GG118" s="218">
        <f t="shared" si="136"/>
        <v>1065526657148.2114</v>
      </c>
      <c r="GH118" s="218">
        <f t="shared" si="191"/>
        <v>9509322449145.8633</v>
      </c>
      <c r="GI118" s="218">
        <f t="shared" si="145"/>
        <v>187238488593.45117</v>
      </c>
      <c r="GJ118" s="218">
        <f>ET118*intermediates!$B$73/intermediates!$B$71</f>
        <v>4.8662535463999852</v>
      </c>
      <c r="GK118" s="218">
        <f>CL118*conversions!$C$1*1000000/data!GJ118</f>
        <v>5137836913631.7666</v>
      </c>
      <c r="GL118" s="218">
        <f>MIN(1,FN118)*(intermediates!$B$75-data!$GL$69)+data!$GL$69</f>
        <v>1</v>
      </c>
      <c r="GM118" s="218">
        <f>GL118*intermediates!$B$74*(FS118+GC118+GK118+GG118+GF118+GB118+FV118)</f>
        <v>4274401169942.8203</v>
      </c>
      <c r="GN118" s="218">
        <f>MIN(1,FN118)*intermediates!$B$76</f>
        <v>0.12</v>
      </c>
      <c r="GO118" s="218">
        <f t="shared" si="137"/>
        <v>3932449076347.395</v>
      </c>
      <c r="GP118" s="218">
        <f>IF(A118&gt;intermediates!$B$29,MIN(1,(A118-intermediates!$B$29)/(intermediates!$B$31-intermediates!$B$29))*intermediates!$B$77,0)</f>
        <v>0.15</v>
      </c>
      <c r="GQ118" s="218">
        <f>IF(AND(A118&gt;intermediates!$B$29+intermediates!$B$30,data!GP118&lt;intermediates!$B$77),1,0)</f>
        <v>0</v>
      </c>
      <c r="GR118" s="218">
        <f t="shared" si="192"/>
        <v>7211289072093.75</v>
      </c>
      <c r="GS118" s="218">
        <f t="shared" si="193"/>
        <v>46910795332392.445</v>
      </c>
      <c r="GT118" s="218">
        <f t="shared" si="188"/>
        <v>86944224385625</v>
      </c>
      <c r="GU118" s="218">
        <f t="shared" si="194"/>
        <v>46080252977093.75</v>
      </c>
      <c r="GV118" s="218">
        <f t="shared" si="195"/>
        <v>32770408969561.625</v>
      </c>
      <c r="GW118" s="218">
        <f t="shared" si="196"/>
        <v>1164465148232.5547</v>
      </c>
      <c r="GX118" s="218">
        <f>MIN(intermediates!$B$88,FN118*intermediates!$B$87*GO118)</f>
        <v>1966224538173.6975</v>
      </c>
      <c r="GY118" s="218">
        <f t="shared" si="197"/>
        <v>1966224538173.6975</v>
      </c>
      <c r="GZ118" s="218">
        <f>MIN(intermediates!$B$88-GX118,intermediates!$B$87*data!GW118*FN118)</f>
        <v>582232574116.27734</v>
      </c>
      <c r="HA118" s="218">
        <f t="shared" si="138"/>
        <v>582232574116.27734</v>
      </c>
      <c r="HB118" s="218">
        <f t="shared" si="139"/>
        <v>2548457112289.9746</v>
      </c>
      <c r="HC118" s="218">
        <f t="shared" si="198"/>
        <v>5545105326679.6514</v>
      </c>
      <c r="HD118" s="218">
        <f>HC118*intermediates!$B$79/(10000*1000000000)</f>
        <v>368.05195453681932</v>
      </c>
      <c r="HE118" s="218">
        <f>(GV118*intermediates!$B$80+GV118*GL118*intermediates!$B$82)/(10000*1000000000)</f>
        <v>1221.783889809067</v>
      </c>
      <c r="HF118" s="218">
        <f>GU118*intermediates!$B$78/(10000*1000000000)</f>
        <v>4640.2516346009088</v>
      </c>
      <c r="HG118" s="218">
        <f>HB118*intermediates!$B$81/(10000*1000000000)</f>
        <v>640.58912280184666</v>
      </c>
      <c r="HH118" s="218">
        <f t="shared" si="199"/>
        <v>0</v>
      </c>
      <c r="HI118" s="218">
        <f t="shared" si="200"/>
        <v>12.316084225045188</v>
      </c>
      <c r="HJ118" s="218">
        <f t="shared" si="201"/>
        <v>-4.2240075197760802</v>
      </c>
      <c r="HK118" s="218">
        <f ca="1">SUM(HJ118:INDIRECT(ADDRESS(MAX(CELL("row",HJ118)-intermediates!$B$83,69),CELL("col",HJ118))))/intermediates!$B$83+SUM(HH118:INDIRECT(ADDRESS(MAX(CELL("row",HH118)-intermediates!$B$84,69),CELL("col",HH118))))/intermediates!$B$84+SUM(HI118:INDIRECT(ADDRESS(MAX(CELL("row",HI118)-intermediates!$B$85,69),CELL("col",HI118))))/intermediates!$B$85</f>
        <v>-5.9268665723909244</v>
      </c>
      <c r="HL118" s="218">
        <f t="shared" ca="1" si="163"/>
        <v>-582.17787186324085</v>
      </c>
      <c r="HM118" s="188">
        <f t="shared" si="202"/>
        <v>2062</v>
      </c>
      <c r="HQ118" s="185">
        <f t="shared" si="203"/>
        <v>1016.5952551620589</v>
      </c>
      <c r="HR118" s="185">
        <f t="shared" si="204"/>
        <v>652.14128361458904</v>
      </c>
      <c r="HS118" s="185">
        <f t="shared" si="205"/>
        <v>481.63335051333019</v>
      </c>
      <c r="HT118" s="185">
        <f t="shared" si="206"/>
        <v>476.81507181813203</v>
      </c>
      <c r="HU118" s="185">
        <f t="shared" si="207"/>
        <v>396.68423406322739</v>
      </c>
      <c r="HV118" s="185">
        <f t="shared" si="208"/>
        <v>364.94949533816924</v>
      </c>
      <c r="HW118" s="185">
        <f t="shared" si="209"/>
        <v>669.24103949052073</v>
      </c>
      <c r="HX118" s="185">
        <f t="shared" si="210"/>
        <v>17.376599313405837</v>
      </c>
      <c r="HY118" s="185">
        <f t="shared" si="211"/>
        <v>278.10283930322072</v>
      </c>
      <c r="HZ118" s="185">
        <f t="shared" si="140"/>
        <v>4058.0597300000272</v>
      </c>
      <c r="IA118" s="185">
        <f t="shared" si="141"/>
        <v>4353.539168616654</v>
      </c>
      <c r="IB118" s="185">
        <f t="shared" si="212"/>
        <v>2534.5262987607398</v>
      </c>
      <c r="IC118" s="185">
        <f t="shared" si="231"/>
        <v>4461.6069299368046</v>
      </c>
      <c r="ID118" s="185">
        <f t="shared" si="213"/>
        <v>3607.2199502257799</v>
      </c>
      <c r="IE118" s="184">
        <f t="shared" si="142"/>
        <v>-0.11187208030148504</v>
      </c>
      <c r="IF118" s="184">
        <f t="shared" si="143"/>
        <v>-2.9958739087530963E-2</v>
      </c>
    </row>
    <row r="119" spans="1:240" x14ac:dyDescent="0.3">
      <c r="A119" s="211">
        <v>2063</v>
      </c>
      <c r="E119" s="207">
        <v>8837105.2909999993</v>
      </c>
      <c r="F119" s="207">
        <v>10254419.004000001</v>
      </c>
      <c r="G119" s="207">
        <v>11818555.787</v>
      </c>
      <c r="I119" s="207">
        <f t="shared" si="164"/>
        <v>8837105291</v>
      </c>
      <c r="J119" s="207">
        <f t="shared" si="164"/>
        <v>10254419004</v>
      </c>
      <c r="K119" s="207">
        <f t="shared" si="164"/>
        <v>11818555787</v>
      </c>
      <c r="L119" s="187">
        <f>IF(intermediates!$B$4&gt;=2,(intermediates!$B$4-2)*K119+(1-(intermediates!$B$4-2))*J119,(intermediates!$B$4-1)*J119+(1-(intermediates!$B$4-1))*I119)</f>
        <v>10831991303.613012</v>
      </c>
      <c r="AJ119" s="184">
        <f>IF(intermediates!$B$46=0,$AJ$74+(intermediates!$B$15-$AJ$74)*MIN(1,(data!A119-data!$A$74)/(intermediates!$B$32-data!$A$74)),IF(A119&lt;2021,$AJ$74+(intermediates!$B$15-$AJ$74)*MIN(1,(data!A119-data!$A$74)/(intermediates!$B$32-data!$A$74)),intermediates!$B$47+(intermediates!$B$15-intermediates!$B$47)*MIN(1,(data!A119-$A$77)/(intermediates!$B$32-$A$77))))</f>
        <v>26564.99358229513</v>
      </c>
      <c r="AK119" s="192">
        <f t="shared" si="146"/>
        <v>26564.99358229513</v>
      </c>
      <c r="AL119" s="192">
        <f t="shared" si="234"/>
        <v>287751779463956.31</v>
      </c>
      <c r="AM119" s="192">
        <f>data!AL119/(1000000*conversions!$C$1)</f>
        <v>24664.438239767685</v>
      </c>
      <c r="AN119" s="192">
        <f>IF(intermediates!$B$13=1,($AJ$74+(27400-$AJ$74)*MIN(1,(data!A119-data!$A$74)/(intermediates!$B$32-data!$A$74)))*L119/(1000000*conversions!$C$1),data!AM119)</f>
        <v>24664.438239767685</v>
      </c>
      <c r="AV119" s="214">
        <f>IF(A119&lt;intermediates!$B$29,0,IF(A119&lt;intermediates!$B$31,(data!A119-intermediates!$B$29)*intermediates!$B$26/(intermediates!$B$31-intermediates!$B$29),intermediates!$B$26))</f>
        <v>10</v>
      </c>
      <c r="AW119" s="212">
        <f>MIN(AW118+intermediates!$B$16,intermediates!$B$17*data!$AW$74)</f>
        <v>1897.5897864678325</v>
      </c>
      <c r="AX119" s="212">
        <f>AV119*1000/conversions!$C$16/intermediates!$B$40</f>
        <v>8187.0584968062822</v>
      </c>
      <c r="AY119" s="212">
        <f>AX119*(1-intermediates!$B$39)*intermediates!$B$28/(conversions!$C$2)</f>
        <v>2143.0300372958864</v>
      </c>
      <c r="AZ119" s="213">
        <f>IF(A119&lt;intermediates!$B$29,0,MIN(intermediates!$B$25,intermediates!$B$25*(A119-intermediates!$B$29)/(intermediates!$B$31-intermediates!$B$29)))</f>
        <v>0</v>
      </c>
      <c r="BA119" s="212">
        <f>IF(A119&lt;intermediates!$B$29,data!$BA$74,IF(intermediates!$B$23&gt;data!$BA$74,MIN(intermediates!$B$23,data!$BA$74+(intermediates!$B$23-data!$BA$74)*((data!A119-intermediates!$B$29)/(intermediates!$B$31-intermediates!$B$29))),MAX(intermediates!$B$23,data!$BA$74+(intermediates!$B$23-data!$BA$74)*((data!A119-intermediates!$B$29)/(intermediates!$B$31-intermediates!$B$29)))))</f>
        <v>0.08</v>
      </c>
      <c r="BB119" s="212">
        <f t="shared" si="214"/>
        <v>1973.1550591814148</v>
      </c>
      <c r="BC119" s="212">
        <f t="shared" si="166"/>
        <v>1973.1550591814148</v>
      </c>
      <c r="BD119" s="212">
        <f t="shared" si="167"/>
        <v>0</v>
      </c>
      <c r="BE119" s="214">
        <f>MAX(0,MIN(1,(data!A119-intermediates!$B$29)/(intermediates!$B$31-intermediates!$B$29)))*((intermediates!$B$38*L119)-$BE$69*1000000000)/1000000000+$BE$69</f>
        <v>1353.9989129516264</v>
      </c>
      <c r="BF119" s="214">
        <f t="shared" si="99"/>
        <v>1353.9989129516264</v>
      </c>
      <c r="BG119" s="214">
        <f t="shared" si="168"/>
        <v>0</v>
      </c>
      <c r="BH119" s="214">
        <f>BD119*conversions!$C$2/conversions!$C$17+BG119*conversions!$C$6/conversions!$C$10</f>
        <v>0</v>
      </c>
      <c r="BI119" s="214">
        <f>BH119*intermediates!$B$41*conversions!$C$11/(conversions!$C$2*conversions!$C$6*intermediates!$B$42)</f>
        <v>0</v>
      </c>
      <c r="BJ119" s="214">
        <f>BH119*intermediates!$B$43/(conversions!$C$1*intermediates!$B$42)</f>
        <v>0</v>
      </c>
      <c r="BK119" s="214">
        <f t="shared" si="215"/>
        <v>0</v>
      </c>
      <c r="BL119" s="214">
        <f t="shared" si="216"/>
        <v>24664.438239767685</v>
      </c>
      <c r="BM119" s="214">
        <f t="shared" si="217"/>
        <v>18650.663356822552</v>
      </c>
      <c r="BN119" s="214">
        <f>IF(A119&lt;intermediates!$B$29,MIN(BO118+intermediates!$B$33*AN118),MIN(BO118*intermediates!$B$35,BO118+intermediates!$B$37*AN118))</f>
        <v>19163.018434937752</v>
      </c>
      <c r="BO119" s="212">
        <f>IF(A119&lt;intermediates!$B$29,MIN(BM119,BO118+intermediates!$B$33*AN118),MIN(BM119,BO118*intermediates!$B$35,BO118+intermediates!$B$37*AN118))</f>
        <v>18650.663356822552</v>
      </c>
      <c r="BP119" s="214">
        <f t="shared" si="218"/>
        <v>512.35507811520074</v>
      </c>
      <c r="BQ119" s="214">
        <f t="shared" si="219"/>
        <v>0</v>
      </c>
      <c r="BR119" s="212" t="str">
        <f t="shared" si="235"/>
        <v/>
      </c>
      <c r="BS119" s="212">
        <f>BP119*conversions!$C$1*intermediates!$B$42/intermediates!$B$43</f>
        <v>1143.513254221165</v>
      </c>
      <c r="BT119" s="214">
        <f>MIN(BT118+BS119,intermediates!$B$27*1000)</f>
        <v>0</v>
      </c>
      <c r="BU119" s="219" t="str">
        <f>IF(AND(BT119=intermediates!$B$27*1000,BT118&lt;&gt;intermediates!$B$27*1000),A119,"")</f>
        <v/>
      </c>
      <c r="BV119" s="212">
        <f>BT119*intermediates!$B$43/(conversions!$C$1*intermediates!$B$42)</f>
        <v>0</v>
      </c>
      <c r="BW119" s="214">
        <f t="shared" si="220"/>
        <v>24664.438239767685</v>
      </c>
      <c r="BX119" s="214">
        <f t="shared" si="221"/>
        <v>18650.663356822552</v>
      </c>
      <c r="BY119" s="227">
        <f>IF(OR(BQ119&gt;0,BT119&lt;&gt;intermediates!$B$27*1000),MAX(0,(BX119-BX118)/AM118),0.000000000001)</f>
        <v>9.9999999999999998E-13</v>
      </c>
      <c r="BZ119" s="322">
        <f>BH119*intermediates!$B$49*1000000</f>
        <v>0</v>
      </c>
      <c r="CA119" s="322">
        <f>BI119*conversions!$C$1*1000000*intermediates!$B$50</f>
        <v>0</v>
      </c>
      <c r="CB119" s="322">
        <f>BT119*1000000*intermediates!$B$49</f>
        <v>0</v>
      </c>
      <c r="CC119" s="214">
        <f>BW119*conversions!$C$1*1000000/L119</f>
        <v>26564.993582295127</v>
      </c>
      <c r="CD119" s="173">
        <f t="shared" si="189"/>
        <v>2063</v>
      </c>
      <c r="CE119" s="173"/>
      <c r="CF119" s="173"/>
      <c r="CG119" s="173"/>
      <c r="CH119" s="173"/>
      <c r="CI119" s="173">
        <f t="shared" si="222"/>
        <v>0</v>
      </c>
      <c r="CJ119" s="173">
        <f t="shared" si="223"/>
        <v>1897.5897864678325</v>
      </c>
      <c r="CK119" s="173">
        <f t="shared" si="224"/>
        <v>1973.1550591814148</v>
      </c>
      <c r="CL119" s="173">
        <f t="shared" si="225"/>
        <v>2143.0300372958864</v>
      </c>
      <c r="CM119" s="173"/>
      <c r="CN119" s="173"/>
      <c r="CO119" s="329">
        <f t="shared" si="169"/>
        <v>18650.663356822552</v>
      </c>
      <c r="CP119" s="174">
        <f t="shared" si="226"/>
        <v>0</v>
      </c>
      <c r="CQ119" s="228">
        <f t="shared" si="227"/>
        <v>10</v>
      </c>
      <c r="CR119" s="228">
        <f t="shared" si="170"/>
        <v>275</v>
      </c>
      <c r="CS119" s="214">
        <f t="shared" ca="1" si="228"/>
        <v>-5.5397494919581582</v>
      </c>
      <c r="CT119" s="190">
        <f t="shared" ca="1" si="229"/>
        <v>-0.51142484670481358</v>
      </c>
      <c r="CU119" s="190">
        <f t="shared" ca="1" si="236"/>
        <v>-5.5397494919581582</v>
      </c>
      <c r="CV119" s="198">
        <f t="shared" si="174"/>
        <v>3203.9310777670239</v>
      </c>
      <c r="CW119" s="198">
        <f t="shared" ca="1" si="171"/>
        <v>3792.1482028211985</v>
      </c>
      <c r="CX119" s="198">
        <f t="shared" ca="1" si="230"/>
        <v>3515.5692001383081</v>
      </c>
      <c r="CY119" s="198">
        <f t="shared" ca="1" si="173"/>
        <v>-276.57900268288984</v>
      </c>
      <c r="CZ119" s="199">
        <f ca="1">IF(CX119&lt;intermediates!$B$55,intermediates!$B$56+(CX119-intermediates!$B$55)*intermediates!$B$53,intermediates!$B$56+(data!CX119-intermediates!$B$55)*intermediates!$B$58)</f>
        <v>1.8808572243798447</v>
      </c>
      <c r="DG119" s="201">
        <f>IF(A119&gt;MAX(intermediates!B$31,intermediates!$B$32),DG118,DG118+intermediates!$B$60*DG$73)</f>
        <v>18991190827500</v>
      </c>
      <c r="DH119" s="201">
        <f>IF(A119&gt;MAX(intermediates!B$31,intermediates!$B$32),DH118,DH118+intermediates!$B$61*DH$73)</f>
        <v>29079573311250</v>
      </c>
      <c r="DI119" s="201">
        <f>IF(A119&gt;MAX(intermediates!B$31,intermediates!$B$32),DI118,DI118+intermediates!$B$62*DI$73)</f>
        <v>38844022298000</v>
      </c>
      <c r="DJ119" s="221"/>
      <c r="EE119" s="218"/>
      <c r="EF119" s="212">
        <f>$EF$69+intermediates!$B$90*(A119-2013)*intermediates!$B$92+intermediates!$B$91*intermediates!$B$92*(A119-2013)^2</f>
        <v>3085.6045885492185</v>
      </c>
      <c r="EH119" s="212">
        <f>IF(A119&lt;intermediates!$B$29,data!EH118,IF(A119&lt;intermediates!$B$31,data!$EH$69+(intermediates!$B$93-data!$EH$69)*(data!A119-intermediates!$B$29)/(intermediates!$B$31-intermediates!$B$29),intermediates!$B$93))</f>
        <v>2.522212345090466E-2</v>
      </c>
      <c r="EI119" s="212">
        <f t="shared" si="128"/>
        <v>2.522212345090466E-2</v>
      </c>
      <c r="EN119" s="218"/>
      <c r="EO119" s="212">
        <f t="shared" si="129"/>
        <v>3007.779088696152</v>
      </c>
      <c r="EQ119" s="212">
        <f t="shared" si="130"/>
        <v>77.825499853066503</v>
      </c>
      <c r="ET119" s="214">
        <f>IF(A119&lt;intermediates!$B$29,ET118+intermediates!$B$63,ET118+intermediates!$B$63*intermediates!$B$67)</f>
        <v>1284.5310323063698</v>
      </c>
      <c r="EU119" s="215">
        <f t="shared" si="131"/>
        <v>1284.5310323063698</v>
      </c>
      <c r="EV119" s="216">
        <f>data!EU119*conversions!$C$13</f>
        <v>1.4939095905723079</v>
      </c>
      <c r="EX119" s="212">
        <f>intermediates!$B$64+intermediates!$B$64*(EXP(-(data!A119-intermediates!$B$66)/intermediates!$B$65)-1)</f>
        <v>8.5949935890757383E-3</v>
      </c>
      <c r="EY119" s="217">
        <f>IF(A119&lt;intermediates!$B$29,data!EX119,data!EY118+(data!EX119-data!EX118)*intermediates!$B$68)</f>
        <v>8.5949935890757383E-3</v>
      </c>
      <c r="EZ119" s="217">
        <f t="shared" si="132"/>
        <v>8.5949935890757383E-3</v>
      </c>
      <c r="FB119" s="212">
        <f>intermediates!$B$94+intermediates!$B$95+(intermediates!$B$95*(EXP(-(data!A119-intermediates!$B$97)/intermediates!$B$96)-1))</f>
        <v>1.5883800392355216</v>
      </c>
      <c r="FC119" s="217">
        <f>IF(A119&lt;intermediates!$B$29,data!FB119,data!FC118+(data!FB119-data!FB118)*intermediates!$B$68)</f>
        <v>1.5883800392355216</v>
      </c>
      <c r="FD119" s="212">
        <f t="shared" si="133"/>
        <v>1.5883800392355216</v>
      </c>
      <c r="FF119" s="184">
        <f>intermediates!$B$98+intermediates!$B$99*EXP(-(A119-intermediates!$B$101)/intermediates!$B$100)</f>
        <v>0.89377033447059062</v>
      </c>
      <c r="FG119" s="184">
        <f t="shared" si="101"/>
        <v>0.89377033447059062</v>
      </c>
      <c r="FI119" s="184">
        <f>intermediates!$B$102+intermediates!$B$103*EXP(-(A119-intermediates!$B$105)/intermediates!$B$104)</f>
        <v>1.6142816194958685E-2</v>
      </c>
      <c r="FJ119" s="184">
        <f t="shared" si="134"/>
        <v>1.6142816194958685E-2</v>
      </c>
      <c r="FL119" s="184">
        <f>intermediates!$B$106</f>
        <v>4.5616870531049965E-2</v>
      </c>
      <c r="FM119" s="184">
        <f t="shared" si="135"/>
        <v>4.5616870531049965E-2</v>
      </c>
      <c r="FN119" s="218">
        <f>IF(A119&lt;intermediates!$B$29,0,IF(A119&lt;intermediates!$B$31,(data!A119-intermediates!$B$29)/(intermediates!$B$31-intermediates!$B$29),1))</f>
        <v>1</v>
      </c>
      <c r="FO119" s="218">
        <f t="shared" si="232"/>
        <v>307696875226829.5</v>
      </c>
      <c r="FP119" s="218">
        <f t="shared" si="177"/>
        <v>344268391285428.38</v>
      </c>
      <c r="FQ119" s="218">
        <f t="shared" si="178"/>
        <v>2958984616019.6748</v>
      </c>
      <c r="FR119" s="218">
        <f t="shared" si="179"/>
        <v>546829040857498.63</v>
      </c>
      <c r="FS119" s="218">
        <f t="shared" si="180"/>
        <v>425703254420.93018</v>
      </c>
      <c r="FT119" s="218">
        <f>intermediates!$B$69*data!EU119/intermediates!$B$71</f>
        <v>3.2695602356462485</v>
      </c>
      <c r="FU119" s="218">
        <f>BC119*conversions!$C$1*1000000</f>
        <v>23020142357116.504</v>
      </c>
      <c r="FV119" s="218">
        <f t="shared" si="184"/>
        <v>7040745757224.5742</v>
      </c>
      <c r="FX119" s="221"/>
      <c r="FY119" s="221"/>
      <c r="FZ119" s="221"/>
      <c r="GA119" s="218">
        <f t="shared" si="190"/>
        <v>1353.9989129516264</v>
      </c>
      <c r="GB119" s="218">
        <f>GA119*1000000*10000*intermediates!$B$71/(intermediates!$B$72*data!EU119)</f>
        <v>5176532986721.3799</v>
      </c>
      <c r="GC119" s="218">
        <f t="shared" si="233"/>
        <v>9257687187835.832</v>
      </c>
      <c r="GD119" s="218">
        <f t="shared" si="144"/>
        <v>21900669186202.715</v>
      </c>
      <c r="GE119" s="218">
        <f t="shared" si="182"/>
        <v>23342281157990.629</v>
      </c>
      <c r="GF119" s="218">
        <f t="shared" si="183"/>
        <v>376810154304.49011</v>
      </c>
      <c r="GG119" s="218">
        <f t="shared" si="136"/>
        <v>1064801817483.4255</v>
      </c>
      <c r="GH119" s="218">
        <f t="shared" si="191"/>
        <v>9497227430529.9785</v>
      </c>
      <c r="GI119" s="218">
        <f t="shared" si="145"/>
        <v>186163011726.7832</v>
      </c>
      <c r="GJ119" s="218">
        <f>ET119*intermediates!$B$73/intermediates!$B$71</f>
        <v>4.9043403534693732</v>
      </c>
      <c r="GK119" s="218">
        <f>CL119*conversions!$C$1*1000000/data!GJ119</f>
        <v>5097936786564.7197</v>
      </c>
      <c r="GL119" s="218">
        <f>MIN(1,FN119)*(intermediates!$B$75-data!$GL$69)+data!$GL$69</f>
        <v>1</v>
      </c>
      <c r="GM119" s="218">
        <f>GL119*intermediates!$B$74*(FS119+GC119+GK119+GG119+GF119+GB119+FV119)</f>
        <v>4266032691683.3027</v>
      </c>
      <c r="GN119" s="218">
        <f>MIN(1,FN119)*intermediates!$B$76</f>
        <v>0.12</v>
      </c>
      <c r="GO119" s="218">
        <f t="shared" si="137"/>
        <v>3924750076348.6387</v>
      </c>
      <c r="GP119" s="218">
        <f>IF(A119&gt;intermediates!$B$29,MIN(1,(A119-intermediates!$B$29)/(intermediates!$B$31-intermediates!$B$29))*intermediates!$B$77,0)</f>
        <v>0.15</v>
      </c>
      <c r="GQ119" s="218">
        <f>IF(AND(A119&gt;intermediates!$B$29+intermediates!$B$30,data!GP119&lt;intermediates!$B$77),1,0)</f>
        <v>0</v>
      </c>
      <c r="GR119" s="218">
        <f t="shared" si="192"/>
        <v>7210614620812.5</v>
      </c>
      <c r="GS119" s="218">
        <f t="shared" si="193"/>
        <v>46800599949419.469</v>
      </c>
      <c r="GT119" s="218">
        <f t="shared" si="188"/>
        <v>86914786436750</v>
      </c>
      <c r="GU119" s="218">
        <f t="shared" si="194"/>
        <v>46054636918812.5</v>
      </c>
      <c r="GV119" s="218">
        <f t="shared" si="195"/>
        <v>32706250636238.648</v>
      </c>
      <c r="GW119" s="218">
        <f t="shared" si="196"/>
        <v>1270164189330.5313</v>
      </c>
      <c r="GX119" s="218">
        <f>MIN(intermediates!$B$88,FN119*intermediates!$B$87*GO119)</f>
        <v>1962375038174.3193</v>
      </c>
      <c r="GY119" s="218">
        <f t="shared" si="197"/>
        <v>1962375038174.3193</v>
      </c>
      <c r="GZ119" s="218">
        <f>MIN(intermediates!$B$88-GX119,intermediates!$B$87*data!GW119*FN119)</f>
        <v>635082094665.26563</v>
      </c>
      <c r="HA119" s="218">
        <f t="shared" si="138"/>
        <v>635082094665.26563</v>
      </c>
      <c r="HB119" s="218">
        <f t="shared" si="139"/>
        <v>2597457132839.585</v>
      </c>
      <c r="HC119" s="218">
        <f t="shared" si="198"/>
        <v>5556441748859.2598</v>
      </c>
      <c r="HD119" s="218">
        <f>HC119*intermediates!$B$79/(10000*1000000000)</f>
        <v>368.8044005400692</v>
      </c>
      <c r="HE119" s="218">
        <f>(GV119*intermediates!$B$80+GV119*GL119*intermediates!$B$82)/(10000*1000000000)</f>
        <v>1219.3918654030299</v>
      </c>
      <c r="HF119" s="218">
        <f>GU119*intermediates!$B$78/(10000*1000000000)</f>
        <v>4637.6721141201788</v>
      </c>
      <c r="HG119" s="218">
        <f>HB119*intermediates!$B$81/(10000*1000000000)</f>
        <v>652.90593991827916</v>
      </c>
      <c r="HH119" s="218">
        <f t="shared" si="199"/>
        <v>0</v>
      </c>
      <c r="HI119" s="218">
        <f t="shared" si="200"/>
        <v>12.316817116432503</v>
      </c>
      <c r="HJ119" s="218">
        <f t="shared" si="201"/>
        <v>-4.2190988835172334</v>
      </c>
      <c r="HK119" s="218">
        <f ca="1">SUM(HJ119:INDIRECT(ADDRESS(MAX(CELL("row",HJ119)-intermediates!$B$83,69),CELL("col",HJ119))))/intermediates!$B$83+SUM(HH119:INDIRECT(ADDRESS(MAX(CELL("row",HH119)-intermediates!$B$84,69),CELL("col",HH119))))/intermediates!$B$84+SUM(HI119:INDIRECT(ADDRESS(MAX(CELL("row",HI119)-intermediates!$B$85,69),CELL("col",HI119))))/intermediates!$B$85</f>
        <v>-4.4602505080418418</v>
      </c>
      <c r="HL119" s="218">
        <f t="shared" ca="1" si="163"/>
        <v>-586.63812237128275</v>
      </c>
      <c r="HM119" s="188">
        <f t="shared" si="202"/>
        <v>2063</v>
      </c>
      <c r="HQ119" s="185">
        <f t="shared" si="203"/>
        <v>1009.8641233832271</v>
      </c>
      <c r="HR119" s="185">
        <f t="shared" si="204"/>
        <v>649.99551420209616</v>
      </c>
      <c r="HS119" s="185">
        <f t="shared" si="205"/>
        <v>477.89301538626114</v>
      </c>
      <c r="HT119" s="185">
        <f t="shared" si="206"/>
        <v>470.63708266312051</v>
      </c>
      <c r="HU119" s="185">
        <f t="shared" si="207"/>
        <v>393.83642140299418</v>
      </c>
      <c r="HV119" s="185">
        <f t="shared" si="208"/>
        <v>362.32950769075467</v>
      </c>
      <c r="HW119" s="185">
        <f t="shared" si="209"/>
        <v>665.67765969378115</v>
      </c>
      <c r="HX119" s="185">
        <f t="shared" si="210"/>
        <v>17.186407051922991</v>
      </c>
      <c r="HY119" s="185">
        <f t="shared" si="211"/>
        <v>273.17088179647124</v>
      </c>
      <c r="HZ119" s="185">
        <f t="shared" si="140"/>
        <v>4030.233324422235</v>
      </c>
      <c r="IA119" s="185">
        <f t="shared" si="141"/>
        <v>4320.5906132706295</v>
      </c>
      <c r="IB119" s="185">
        <f t="shared" si="212"/>
        <v>2544.3642844873771</v>
      </c>
      <c r="IC119" s="185">
        <f t="shared" si="231"/>
        <v>4437.851064625208</v>
      </c>
      <c r="ID119" s="185">
        <f t="shared" si="213"/>
        <v>3586.0462964961548</v>
      </c>
      <c r="IE119" s="184">
        <f t="shared" si="142"/>
        <v>-0.11366772944377408</v>
      </c>
      <c r="IF119" s="184">
        <f t="shared" si="143"/>
        <v>-3.2699090212290616E-2</v>
      </c>
    </row>
    <row r="120" spans="1:240" x14ac:dyDescent="0.3">
      <c r="A120" s="211">
        <v>2064</v>
      </c>
      <c r="E120" s="207">
        <v>8818505.9619999994</v>
      </c>
      <c r="F120" s="207">
        <v>10286658.354</v>
      </c>
      <c r="G120" s="207">
        <v>11915273.01</v>
      </c>
      <c r="I120" s="207">
        <f t="shared" si="164"/>
        <v>8818505962</v>
      </c>
      <c r="J120" s="207">
        <f t="shared" si="164"/>
        <v>10286658354</v>
      </c>
      <c r="K120" s="207">
        <f t="shared" si="164"/>
        <v>11915273010</v>
      </c>
      <c r="L120" s="187">
        <f>IF(intermediates!$B$4&gt;=2,(intermediates!$B$4-2)*K120+(1-(intermediates!$B$4-2))*J120,(intermediates!$B$4-1)*J120+(1-(intermediates!$B$4-1))*I120)</f>
        <v>10888039718.004005</v>
      </c>
      <c r="AJ120" s="184">
        <f>IF(intermediates!$B$46=0,$AJ$74+(intermediates!$B$15-$AJ$74)*MIN(1,(data!A120-data!$A$74)/(intermediates!$B$32-data!$A$74)),IF(A120&lt;2021,$AJ$74+(intermediates!$B$15-$AJ$74)*MIN(1,(data!A120-data!$A$74)/(intermediates!$B$32-data!$A$74)),intermediates!$B$47+(intermediates!$B$15-intermediates!$B$47)*MIN(1,(data!A120-$A$77)/(intermediates!$B$32-$A$77))))</f>
        <v>26684.280213395825</v>
      </c>
      <c r="AK120" s="192">
        <f t="shared" si="146"/>
        <v>26684.280213395825</v>
      </c>
      <c r="AL120" s="192">
        <f t="shared" si="234"/>
        <v>290539502809802.13</v>
      </c>
      <c r="AM120" s="192">
        <f>data!AL120/(1000000*conversions!$C$1)</f>
        <v>24903.385955125897</v>
      </c>
      <c r="AN120" s="192">
        <f>IF(intermediates!$B$13=1,($AJ$74+(27400-$AJ$74)*MIN(1,(data!A120-data!$A$74)/(intermediates!$B$32-data!$A$74)))*L120/(1000000*conversions!$C$1),data!AM120)</f>
        <v>24903.385955125897</v>
      </c>
      <c r="AV120" s="214">
        <f>IF(A120&lt;intermediates!$B$29,0,IF(A120&lt;intermediates!$B$31,(data!A120-intermediates!$B$29)*intermediates!$B$26/(intermediates!$B$31-intermediates!$B$29),intermediates!$B$26))</f>
        <v>10</v>
      </c>
      <c r="AW120" s="212">
        <f>MIN(AW119+intermediates!$B$16,intermediates!$B$17*data!$AW$74)</f>
        <v>1897.5897864678325</v>
      </c>
      <c r="AX120" s="212">
        <f>AV120*1000/conversions!$C$16/intermediates!$B$40</f>
        <v>8187.0584968062822</v>
      </c>
      <c r="AY120" s="212">
        <f>AX120*(1-intermediates!$B$39)*intermediates!$B$28/(conversions!$C$2)</f>
        <v>2143.0300372958864</v>
      </c>
      <c r="AZ120" s="213">
        <f>IF(A120&lt;intermediates!$B$29,0,MIN(intermediates!$B$25,intermediates!$B$25*(A120-intermediates!$B$29)/(intermediates!$B$31-intermediates!$B$29)))</f>
        <v>0</v>
      </c>
      <c r="BA120" s="212">
        <f>IF(A120&lt;intermediates!$B$29,data!$BA$74,IF(intermediates!$B$23&gt;data!$BA$74,MIN(intermediates!$B$23,data!$BA$74+(intermediates!$B$23-data!$BA$74)*((data!A120-intermediates!$B$29)/(intermediates!$B$31-intermediates!$B$29))),MAX(intermediates!$B$23,data!$BA$74+(intermediates!$B$23-data!$BA$74)*((data!A120-intermediates!$B$29)/(intermediates!$B$31-intermediates!$B$29)))))</f>
        <v>0.08</v>
      </c>
      <c r="BB120" s="212">
        <f t="shared" si="214"/>
        <v>1992.2708764100719</v>
      </c>
      <c r="BC120" s="212">
        <f t="shared" si="166"/>
        <v>1992.2708764100719</v>
      </c>
      <c r="BD120" s="212">
        <f t="shared" si="167"/>
        <v>0</v>
      </c>
      <c r="BE120" s="214">
        <f>MAX(0,MIN(1,(data!A120-intermediates!$B$29)/(intermediates!$B$31-intermediates!$B$29)))*((intermediates!$B$38*L120)-$BE$69*1000000000)/1000000000+$BE$69</f>
        <v>1361.0049647505007</v>
      </c>
      <c r="BF120" s="214">
        <f t="shared" si="99"/>
        <v>1361.0049647505007</v>
      </c>
      <c r="BG120" s="214">
        <f t="shared" si="168"/>
        <v>0</v>
      </c>
      <c r="BH120" s="214">
        <f>BD120*conversions!$C$2/conversions!$C$17+BG120*conversions!$C$6/conversions!$C$10</f>
        <v>0</v>
      </c>
      <c r="BI120" s="214">
        <f>BH120*intermediates!$B$41*conversions!$C$11/(conversions!$C$2*conversions!$C$6*intermediates!$B$42)</f>
        <v>0</v>
      </c>
      <c r="BJ120" s="214">
        <f>BH120*intermediates!$B$43/(conversions!$C$1*intermediates!$B$42)</f>
        <v>0</v>
      </c>
      <c r="BK120" s="214">
        <f t="shared" si="215"/>
        <v>0</v>
      </c>
      <c r="BL120" s="214">
        <f t="shared" si="216"/>
        <v>24903.385955125897</v>
      </c>
      <c r="BM120" s="214">
        <f t="shared" si="217"/>
        <v>18870.495254952108</v>
      </c>
      <c r="BN120" s="214">
        <f>IF(A120&lt;intermediates!$B$29,MIN(BO119+intermediates!$B$33*AN119),MIN(BO119*intermediates!$B$35,BO119+intermediates!$B$37*AN119))</f>
        <v>19390.259277172012</v>
      </c>
      <c r="BO120" s="212">
        <f>IF(A120&lt;intermediates!$B$29,MIN(BM120,BO119+intermediates!$B$33*AN119),MIN(BM120,BO119*intermediates!$B$35,BO119+intermediates!$B$37*AN119))</f>
        <v>18870.495254952108</v>
      </c>
      <c r="BP120" s="214">
        <f t="shared" si="218"/>
        <v>519.76402221990429</v>
      </c>
      <c r="BQ120" s="214">
        <f t="shared" si="219"/>
        <v>0</v>
      </c>
      <c r="BR120" s="212" t="str">
        <f t="shared" si="235"/>
        <v/>
      </c>
      <c r="BS120" s="212">
        <f>BP120*conversions!$C$1*intermediates!$B$42/intermediates!$B$43</f>
        <v>1160.049102396378</v>
      </c>
      <c r="BT120" s="214">
        <f>MIN(BT119+BS120,intermediates!$B$27*1000)</f>
        <v>0</v>
      </c>
      <c r="BU120" s="219" t="str">
        <f>IF(AND(BT120=intermediates!$B$27*1000,BT119&lt;&gt;intermediates!$B$27*1000),A120,"")</f>
        <v/>
      </c>
      <c r="BV120" s="212">
        <f>BT120*intermediates!$B$43/(conversions!$C$1*intermediates!$B$42)</f>
        <v>0</v>
      </c>
      <c r="BW120" s="214">
        <f t="shared" si="220"/>
        <v>24903.385955125897</v>
      </c>
      <c r="BX120" s="214">
        <f t="shared" si="221"/>
        <v>18870.495254952108</v>
      </c>
      <c r="BY120" s="227">
        <f>IF(OR(BQ120&gt;0,BT120&lt;&gt;intermediates!$B$27*1000),MAX(0,(BX120-BX119)/AM119),0.000000000001)</f>
        <v>9.9999999999999998E-13</v>
      </c>
      <c r="BZ120" s="322">
        <f>BH120*intermediates!$B$49*1000000</f>
        <v>0</v>
      </c>
      <c r="CA120" s="322">
        <f>BI120*conversions!$C$1*1000000*intermediates!$B$50</f>
        <v>0</v>
      </c>
      <c r="CB120" s="322">
        <f>BT120*1000000*intermediates!$B$49</f>
        <v>0</v>
      </c>
      <c r="CC120" s="214">
        <f>BW120*conversions!$C$1*1000000/L120</f>
        <v>26684.280213395825</v>
      </c>
      <c r="CD120" s="173">
        <f t="shared" si="189"/>
        <v>2064</v>
      </c>
      <c r="CE120" s="173"/>
      <c r="CF120" s="173"/>
      <c r="CG120" s="173"/>
      <c r="CH120" s="173"/>
      <c r="CI120" s="173">
        <f t="shared" si="222"/>
        <v>0</v>
      </c>
      <c r="CJ120" s="173">
        <f t="shared" si="223"/>
        <v>1897.5897864678325</v>
      </c>
      <c r="CK120" s="173">
        <f t="shared" si="224"/>
        <v>1992.2708764100719</v>
      </c>
      <c r="CL120" s="173">
        <f t="shared" si="225"/>
        <v>2143.0300372958864</v>
      </c>
      <c r="CM120" s="173"/>
      <c r="CN120" s="173"/>
      <c r="CO120" s="329">
        <f t="shared" si="169"/>
        <v>18870.495254952108</v>
      </c>
      <c r="CP120" s="174">
        <f t="shared" si="226"/>
        <v>0</v>
      </c>
      <c r="CQ120" s="228">
        <f t="shared" si="227"/>
        <v>10</v>
      </c>
      <c r="CR120" s="228">
        <f t="shared" si="170"/>
        <v>285</v>
      </c>
      <c r="CS120" s="214">
        <f ca="1">CP120-(CQ120+HK120)</f>
        <v>-6.9913995818218364</v>
      </c>
      <c r="CT120" s="190">
        <f ca="1">1000000000*CS120/L120</f>
        <v>-0.64211738411103991</v>
      </c>
      <c r="CU120" s="190">
        <f t="shared" ca="1" si="236"/>
        <v>-6.9913995818218364</v>
      </c>
      <c r="CV120" s="198">
        <f t="shared" si="174"/>
        <v>3203.9310777670239</v>
      </c>
      <c r="CW120" s="198">
        <f t="shared" ca="1" si="171"/>
        <v>3795.1568032393766</v>
      </c>
      <c r="CX120" s="198">
        <f t="shared" ca="1" si="230"/>
        <v>3508.5778005564862</v>
      </c>
      <c r="CY120" s="198">
        <f t="shared" ca="1" si="173"/>
        <v>-286.57900268288984</v>
      </c>
      <c r="CZ120" s="199">
        <f ca="1">IF(CX120&lt;intermediates!$B$55,intermediates!$B$56+(CX120-intermediates!$B$55)*intermediates!$B$53,intermediates!$B$56+(data!CX120-intermediates!$B$55)*intermediates!$B$58)</f>
        <v>1.8770553034007045</v>
      </c>
      <c r="DG120" s="201">
        <f>IF(A120&gt;MAX(intermediates!B$31,intermediates!$B$32),DG119,DG119+intermediates!$B$60*DG$73)</f>
        <v>19064621768750</v>
      </c>
      <c r="DH120" s="201">
        <f>IF(A120&gt;MAX(intermediates!B$31,intermediates!$B$32),DH119,DH119+intermediates!$B$61*DH$73)</f>
        <v>29001646028125</v>
      </c>
      <c r="DI120" s="201">
        <f>IF(A120&gt;MAX(intermediates!B$31,intermediates!$B$32),DI119,DI119+intermediates!$B$62*DI$73)</f>
        <v>38819080691000</v>
      </c>
      <c r="DJ120" s="221"/>
      <c r="EE120" s="218"/>
      <c r="EF120" s="212">
        <f>$EF$69+intermediates!$B$90*(A120-2013)*intermediates!$B$92+intermediates!$B$91*intermediates!$B$92*(A120-2013)^2</f>
        <v>3089.4650785492186</v>
      </c>
      <c r="EH120" s="212">
        <f>IF(A120&lt;intermediates!$B$29,data!EH119,IF(A120&lt;intermediates!$B$31,data!$EH$69+(intermediates!$B$93-data!$EH$69)*(data!A120-intermediates!$B$29)/(intermediates!$B$31-intermediates!$B$29),intermediates!$B$93))</f>
        <v>2.522212345090466E-2</v>
      </c>
      <c r="EI120" s="212">
        <f t="shared" si="128"/>
        <v>2.522212345090466E-2</v>
      </c>
      <c r="EN120" s="218"/>
      <c r="EO120" s="212">
        <f t="shared" si="129"/>
        <v>3011.5422089407912</v>
      </c>
      <c r="EQ120" s="212">
        <f t="shared" si="130"/>
        <v>77.922869608427391</v>
      </c>
      <c r="ET120" s="214">
        <f>IF(A120&lt;intermediates!$B$29,ET119+intermediates!$B$63,ET119+intermediates!$B$63*intermediates!$B$67)</f>
        <v>1294.5066216978125</v>
      </c>
      <c r="EU120" s="215">
        <f t="shared" si="131"/>
        <v>1294.5066216978125</v>
      </c>
      <c r="EV120" s="216">
        <f>data!EU120*conversions!$C$13</f>
        <v>1.5055112010345559</v>
      </c>
      <c r="EX120" s="212">
        <f>intermediates!$B$64+intermediates!$B$64*(EXP(-(data!A120-intermediates!$B$66)/intermediates!$B$65)-1)</f>
        <v>8.4352084767993756E-3</v>
      </c>
      <c r="EY120" s="217">
        <f>IF(A120&lt;intermediates!$B$29,data!EX120,data!EY119+(data!EX120-data!EX119)*intermediates!$B$68)</f>
        <v>8.4352084767993756E-3</v>
      </c>
      <c r="EZ120" s="217">
        <f t="shared" si="132"/>
        <v>8.4352084767993756E-3</v>
      </c>
      <c r="FB120" s="212">
        <f>intermediates!$B$94+intermediates!$B$95+(intermediates!$B$95*(EXP(-(data!A120-intermediates!$B$97)/intermediates!$B$96)-1))</f>
        <v>1.5859698750431996</v>
      </c>
      <c r="FC120" s="217">
        <f>IF(A120&lt;intermediates!$B$29,data!FB120,data!FC119+(data!FB120-data!FB119)*intermediates!$B$68)</f>
        <v>1.5859698750431996</v>
      </c>
      <c r="FD120" s="212">
        <f t="shared" si="133"/>
        <v>1.5859698750431996</v>
      </c>
      <c r="FF120" s="184">
        <f>intermediates!$B$98+intermediates!$B$99*EXP(-(A120-intermediates!$B$101)/intermediates!$B$100)</f>
        <v>0.89412545173146363</v>
      </c>
      <c r="FG120" s="184">
        <f t="shared" si="101"/>
        <v>0.89412545173146363</v>
      </c>
      <c r="FI120" s="184">
        <f>intermediates!$B$102+intermediates!$B$103*EXP(-(A120-intermediates!$B$105)/intermediates!$B$104)</f>
        <v>1.6049951307844725E-2</v>
      </c>
      <c r="FJ120" s="184">
        <f t="shared" si="134"/>
        <v>1.6049951307844725E-2</v>
      </c>
      <c r="FL120" s="184">
        <f>intermediates!$B$106</f>
        <v>4.5616870531049965E-2</v>
      </c>
      <c r="FM120" s="184">
        <f t="shared" si="135"/>
        <v>4.5616870531049965E-2</v>
      </c>
      <c r="FN120" s="218">
        <f>IF(A120&lt;intermediates!$B$29,0,IF(A120&lt;intermediates!$B$31,(data!A120-intermediates!$B$29)/(intermediates!$B$31-intermediates!$B$29),1))</f>
        <v>1</v>
      </c>
      <c r="FO120" s="218">
        <f t="shared" si="232"/>
        <v>309675964221652.69</v>
      </c>
      <c r="FP120" s="218">
        <f t="shared" si="177"/>
        <v>346345094664254.06</v>
      </c>
      <c r="FQ120" s="218">
        <f t="shared" si="178"/>
        <v>2921493078409.7979</v>
      </c>
      <c r="FR120" s="218">
        <f t="shared" si="179"/>
        <v>549292886506492.19</v>
      </c>
      <c r="FS120" s="218">
        <f t="shared" si="180"/>
        <v>424326053879.9455</v>
      </c>
      <c r="FT120" s="218">
        <f>intermediates!$B$69*data!EU120/intermediates!$B$71</f>
        <v>3.2949514403591733</v>
      </c>
      <c r="FU120" s="218">
        <f>BC120*conversions!$C$1*1000000</f>
        <v>23243160224784.168</v>
      </c>
      <c r="FV120" s="218">
        <f t="shared" si="184"/>
        <v>7054173830935.2734</v>
      </c>
      <c r="FX120" s="221"/>
      <c r="FY120" s="221"/>
      <c r="FZ120" s="221"/>
      <c r="GA120" s="218">
        <f t="shared" si="190"/>
        <v>1361.0049647505007</v>
      </c>
      <c r="GB120" s="218">
        <f>GA120*1000000*10000*intermediates!$B$71/(intermediates!$B$72*data!EU120)</f>
        <v>5163220875123.6611</v>
      </c>
      <c r="GC120" s="218">
        <f t="shared" si="233"/>
        <v>9245432646950.3711</v>
      </c>
      <c r="GD120" s="218">
        <f t="shared" si="144"/>
        <v>21887153406889.25</v>
      </c>
      <c r="GE120" s="218">
        <f t="shared" si="182"/>
        <v>23325566990802.258</v>
      </c>
      <c r="GF120" s="218">
        <f t="shared" si="183"/>
        <v>374374214430.24646</v>
      </c>
      <c r="GG120" s="218">
        <f t="shared" si="136"/>
        <v>1064039369482.7593</v>
      </c>
      <c r="GH120" s="218">
        <f t="shared" si="191"/>
        <v>9484655806593.6172</v>
      </c>
      <c r="GI120" s="218">
        <f t="shared" si="145"/>
        <v>185102894236.69922</v>
      </c>
      <c r="GJ120" s="218">
        <f>ET120*intermediates!$B$73/intermediates!$B$71</f>
        <v>4.9424271605387604</v>
      </c>
      <c r="GK120" s="218">
        <f>CL120*conversions!$C$1*1000000/data!GJ120</f>
        <v>5058651607737.5918</v>
      </c>
      <c r="GL120" s="218">
        <f>MIN(1,FN120)*(intermediates!$B$75-data!$GL$69)+data!$GL$69</f>
        <v>1</v>
      </c>
      <c r="GM120" s="218">
        <f>GL120*intermediates!$B$74*(FS120+GC120+GK120+GG120+GF120+GB120+FV120)</f>
        <v>4257632789780.9771</v>
      </c>
      <c r="GN120" s="218">
        <f>MIN(1,FN120)*intermediates!$B$76</f>
        <v>0.12</v>
      </c>
      <c r="GO120" s="218">
        <f t="shared" si="137"/>
        <v>3917022166598.4985</v>
      </c>
      <c r="GP120" s="218">
        <f>IF(A120&gt;intermediates!$B$29,MIN(1,(A120-intermediates!$B$29)/(intermediates!$B$31-intermediates!$B$29))*intermediates!$B$77,0)</f>
        <v>0.15</v>
      </c>
      <c r="GQ120" s="218">
        <f>IF(AND(A120&gt;intermediates!$B$29+intermediates!$B$30,data!GP120&lt;intermediates!$B$77),1,0)</f>
        <v>0</v>
      </c>
      <c r="GR120" s="218">
        <f t="shared" si="192"/>
        <v>7209940169531.25</v>
      </c>
      <c r="GS120" s="218">
        <f t="shared" si="193"/>
        <v>46690306802860.367</v>
      </c>
      <c r="GT120" s="218">
        <f t="shared" si="188"/>
        <v>86885348487875</v>
      </c>
      <c r="GU120" s="218">
        <f t="shared" si="194"/>
        <v>46029020860531.25</v>
      </c>
      <c r="GV120" s="218">
        <f t="shared" si="195"/>
        <v>32641851388320.82</v>
      </c>
      <c r="GW120" s="218">
        <f t="shared" si="196"/>
        <v>1375960994014.6328</v>
      </c>
      <c r="GX120" s="218">
        <f>MIN(intermediates!$B$88,FN120*intermediates!$B$87*GO120)</f>
        <v>1958511083299.2493</v>
      </c>
      <c r="GY120" s="218">
        <f t="shared" si="197"/>
        <v>1958511083299.2493</v>
      </c>
      <c r="GZ120" s="218">
        <f>MIN(intermediates!$B$88-GX120,intermediates!$B$87*data!GW120*FN120)</f>
        <v>687980497007.31641</v>
      </c>
      <c r="HA120" s="218">
        <f t="shared" si="138"/>
        <v>687980497007.31641</v>
      </c>
      <c r="HB120" s="218">
        <f t="shared" si="139"/>
        <v>2646491580306.5654</v>
      </c>
      <c r="HC120" s="218">
        <f t="shared" si="198"/>
        <v>5567984658716.3633</v>
      </c>
      <c r="HD120" s="218">
        <f>HC120*intermediates!$B$79/(10000*1000000000)</f>
        <v>369.57055199863726</v>
      </c>
      <c r="HE120" s="218">
        <f>(GV120*intermediates!$B$80+GV120*GL120*intermediates!$B$82)/(10000*1000000000)</f>
        <v>1216.9908589433635</v>
      </c>
      <c r="HF120" s="218">
        <f>GU120*intermediates!$B$78/(10000*1000000000)</f>
        <v>4635.0925936394497</v>
      </c>
      <c r="HG120" s="218">
        <f>HB120*intermediates!$B$81/(10000*1000000000)</f>
        <v>665.23141070547285</v>
      </c>
      <c r="HH120" s="218">
        <f t="shared" si="199"/>
        <v>0</v>
      </c>
      <c r="HI120" s="218">
        <f t="shared" si="200"/>
        <v>12.325470787193694</v>
      </c>
      <c r="HJ120" s="218">
        <f t="shared" si="201"/>
        <v>-4.2143754818274601</v>
      </c>
      <c r="HK120" s="218">
        <f ca="1">SUM(HJ120:INDIRECT(ADDRESS(MAX(CELL("row",HJ120)-intermediates!$B$83,69),CELL("col",HJ120))))/intermediates!$B$83+SUM(HH120:INDIRECT(ADDRESS(MAX(CELL("row",HH120)-intermediates!$B$84,69),CELL("col",HH120))))/intermediates!$B$84+SUM(HI120:INDIRECT(ADDRESS(MAX(CELL("row",HI120)-intermediates!$B$85,69),CELL("col",HI120))))/intermediates!$B$85</f>
        <v>-3.0086004181781636</v>
      </c>
      <c r="HL120" s="218">
        <f t="shared" ca="1" si="163"/>
        <v>-589.64672278946091</v>
      </c>
      <c r="HM120" s="188">
        <f t="shared" si="202"/>
        <v>2064</v>
      </c>
      <c r="HQ120" s="185">
        <f t="shared" si="203"/>
        <v>1003.2172616384466</v>
      </c>
      <c r="HR120" s="185">
        <f t="shared" si="204"/>
        <v>647.88281579013596</v>
      </c>
      <c r="HS120" s="185">
        <f t="shared" si="205"/>
        <v>474.21032700551007</v>
      </c>
      <c r="HT120" s="185">
        <f t="shared" si="206"/>
        <v>464.60627796689772</v>
      </c>
      <c r="HU120" s="185">
        <f t="shared" si="207"/>
        <v>391.03758803714999</v>
      </c>
      <c r="HV120" s="185">
        <f t="shared" si="208"/>
        <v>359.75458099417796</v>
      </c>
      <c r="HW120" s="185">
        <f t="shared" si="209"/>
        <v>662.18900337121249</v>
      </c>
      <c r="HX120" s="185">
        <f t="shared" si="210"/>
        <v>17.000571180009644</v>
      </c>
      <c r="HY120" s="185">
        <f t="shared" si="211"/>
        <v>268.32130981107093</v>
      </c>
      <c r="HZ120" s="185">
        <f t="shared" si="140"/>
        <v>4002.8978548035307</v>
      </c>
      <c r="IA120" s="185">
        <f t="shared" si="141"/>
        <v>4288.2197357946116</v>
      </c>
      <c r="IB120" s="185">
        <f t="shared" si="212"/>
        <v>2554.2022702140148</v>
      </c>
      <c r="IC120" s="185">
        <f t="shared" si="231"/>
        <v>4414.5933558080833</v>
      </c>
      <c r="ID120" s="185">
        <f t="shared" si="213"/>
        <v>3565.2956543509295</v>
      </c>
      <c r="IE120" s="184">
        <f t="shared" si="142"/>
        <v>-0.11547303251054021</v>
      </c>
      <c r="IF120" s="184">
        <f t="shared" si="143"/>
        <v>-3.5445481178889314E-2</v>
      </c>
    </row>
    <row r="121" spans="1:240" x14ac:dyDescent="0.3">
      <c r="A121" s="184">
        <v>2065</v>
      </c>
      <c r="E121" s="207">
        <v>8798353.1900000107</v>
      </c>
      <c r="F121" s="207">
        <v>10317879.314999999</v>
      </c>
      <c r="G121" s="207">
        <v>12012015.418</v>
      </c>
      <c r="I121" s="207">
        <f t="shared" si="164"/>
        <v>8798353190.0000114</v>
      </c>
      <c r="J121" s="207">
        <f t="shared" si="164"/>
        <v>10317879315</v>
      </c>
      <c r="K121" s="207">
        <f t="shared" si="164"/>
        <v>12012015418</v>
      </c>
      <c r="L121" s="187">
        <f>IF(intermediates!$B$4&gt;=2,(intermediates!$B$4-2)*K121+(1-(intermediates!$B$4-2))*J121,(intermediates!$B$4-1)*J121+(1-(intermediates!$B$4-1))*I121)</f>
        <v>10943455092.963875</v>
      </c>
      <c r="AJ121" s="184">
        <f>IF(intermediates!$B$46=0,$AJ$74+(intermediates!$B$15-$AJ$74)*MIN(1,(data!A121-data!$A$74)/(intermediates!$B$32-data!$A$74)),IF(A121&lt;2021,$AJ$74+(intermediates!$B$15-$AJ$74)*MIN(1,(data!A121-data!$A$74)/(intermediates!$B$32-data!$A$74)),intermediates!$B$47+(intermediates!$B$15-intermediates!$B$47)*MIN(1,(data!A121-$A$77)/(intermediates!$B$32-$A$77))))</f>
        <v>26803.566844496523</v>
      </c>
      <c r="AK121" s="192">
        <f t="shared" si="146"/>
        <v>26803.566844496523</v>
      </c>
      <c r="AL121" s="192">
        <f t="shared" si="234"/>
        <v>293323630094003.13</v>
      </c>
      <c r="AM121" s="192">
        <f>data!AL121/(1000000*conversions!$C$1)</f>
        <v>25142.025436628839</v>
      </c>
      <c r="AN121" s="192">
        <f>IF(intermediates!$B$13=1,($AJ$74+(27400-$AJ$74)*MIN(1,(data!A121-data!$A$74)/(intermediates!$B$32-data!$A$74)))*L121/(1000000*conversions!$C$1),data!AM121)</f>
        <v>25142.025436628839</v>
      </c>
      <c r="AV121" s="214">
        <f>IF(A121&lt;intermediates!$B$29,0,IF(A121&lt;intermediates!$B$31,(data!A121-intermediates!$B$29)*intermediates!$B$26/(intermediates!$B$31-intermediates!$B$29),intermediates!$B$26))</f>
        <v>10</v>
      </c>
      <c r="AW121" s="212">
        <f>MIN(AW120+intermediates!$B$16,intermediates!$B$17*data!$AW$74)</f>
        <v>1897.5897864678325</v>
      </c>
      <c r="AX121" s="212">
        <f>AV121*1000/conversions!$C$16/intermediates!$B$40</f>
        <v>8187.0584968062822</v>
      </c>
      <c r="AY121" s="212">
        <f>AX121*(1-intermediates!$B$39)*intermediates!$B$28/(conversions!$C$2)</f>
        <v>2143.0300372958864</v>
      </c>
      <c r="AZ121" s="213">
        <f>IF(A121&lt;intermediates!$B$29,0,MIN(intermediates!$B$25,intermediates!$B$25*(A121-intermediates!$B$29)/(intermediates!$B$31-intermediates!$B$29)))</f>
        <v>0</v>
      </c>
      <c r="BA121" s="212">
        <f>IF(A121&lt;intermediates!$B$29,data!$BA$74,IF(intermediates!$B$23&gt;data!$BA$74,MIN(intermediates!$B$23,data!$BA$74+(intermediates!$B$23-data!$BA$74)*((data!A121-intermediates!$B$29)/(intermediates!$B$31-intermediates!$B$29))),MAX(intermediates!$B$23,data!$BA$74+(intermediates!$B$23-data!$BA$74)*((data!A121-intermediates!$B$29)/(intermediates!$B$31-intermediates!$B$29)))))</f>
        <v>0.08</v>
      </c>
      <c r="BB121" s="212">
        <f t="shared" si="214"/>
        <v>2011.3620349303071</v>
      </c>
      <c r="BC121" s="212">
        <f t="shared" si="166"/>
        <v>2011.3620349303071</v>
      </c>
      <c r="BD121" s="212">
        <f t="shared" si="167"/>
        <v>0</v>
      </c>
      <c r="BE121" s="214">
        <f>MAX(0,MIN(1,(data!A121-intermediates!$B$29)/(intermediates!$B$31-intermediates!$B$29)))*((intermediates!$B$38*L121)-$BE$69*1000000000)/1000000000+$BE$69</f>
        <v>1367.9318866204844</v>
      </c>
      <c r="BF121" s="214">
        <f t="shared" si="99"/>
        <v>1367.9318866204844</v>
      </c>
      <c r="BG121" s="214">
        <f t="shared" si="168"/>
        <v>0</v>
      </c>
      <c r="BH121" s="214">
        <f>BD121*conversions!$C$2/conversions!$C$17+BG121*conversions!$C$6/conversions!$C$10</f>
        <v>0</v>
      </c>
      <c r="BI121" s="214">
        <f>BH121*intermediates!$B$41*conversions!$C$11/(conversions!$C$2*conversions!$C$6*intermediates!$B$42)</f>
        <v>0</v>
      </c>
      <c r="BJ121" s="214">
        <f>BH121*intermediates!$B$43/(conversions!$C$1*intermediates!$B$42)</f>
        <v>0</v>
      </c>
      <c r="BK121" s="214">
        <f t="shared" si="215"/>
        <v>0</v>
      </c>
      <c r="BL121" s="214">
        <f t="shared" si="216"/>
        <v>25142.025436628839</v>
      </c>
      <c r="BM121" s="214">
        <f t="shared" si="217"/>
        <v>19090.043577934812</v>
      </c>
      <c r="BN121" s="214">
        <f>IF(A121&lt;intermediates!$B$29,MIN(BO120+intermediates!$B$33*AN120),MIN(BO120*intermediates!$B$35,BO120+intermediates!$B$37*AN120))</f>
        <v>19617.256339727279</v>
      </c>
      <c r="BO121" s="212">
        <f>IF(A121&lt;intermediates!$B$29,MIN(BM121,BO120+intermediates!$B$33*AN120),MIN(BM121,BO120*intermediates!$B$35,BO120+intermediates!$B$37*AN120))</f>
        <v>19090.043577934812</v>
      </c>
      <c r="BP121" s="214">
        <f t="shared" si="218"/>
        <v>527.21276179246706</v>
      </c>
      <c r="BQ121" s="214">
        <f t="shared" si="219"/>
        <v>0</v>
      </c>
      <c r="BR121" s="212" t="str">
        <f t="shared" si="235"/>
        <v/>
      </c>
      <c r="BS121" s="212">
        <f>BP121*conversions!$C$1*intermediates!$B$42/intermediates!$B$43</f>
        <v>1176.6737691407798</v>
      </c>
      <c r="BT121" s="214">
        <f>MIN(BT120+BS121,intermediates!$B$27*1000)</f>
        <v>0</v>
      </c>
      <c r="BU121" s="219" t="str">
        <f>IF(AND(BT121=intermediates!$B$27*1000,BT120&lt;&gt;intermediates!$B$27*1000),A121,"")</f>
        <v/>
      </c>
      <c r="BV121" s="212">
        <f>BT121*intermediates!$B$43/(conversions!$C$1*intermediates!$B$42)</f>
        <v>0</v>
      </c>
      <c r="BW121" s="214">
        <f t="shared" si="220"/>
        <v>25142.025436628839</v>
      </c>
      <c r="BX121" s="214">
        <f t="shared" si="221"/>
        <v>19090.043577934812</v>
      </c>
      <c r="BY121" s="227">
        <f>IF(OR(BQ121&gt;0,BT121&lt;&gt;intermediates!$B$27*1000),MAX(0,(BX121-BX120)/AM120),0.000000000001)</f>
        <v>9.9999999999999998E-13</v>
      </c>
      <c r="BZ121" s="322">
        <f>BH121*intermediates!$B$49*1000000</f>
        <v>0</v>
      </c>
      <c r="CA121" s="322">
        <f>BI121*conversions!$C$1*1000000*intermediates!$B$50</f>
        <v>0</v>
      </c>
      <c r="CB121" s="322">
        <f>BT121*1000000*intermediates!$B$49</f>
        <v>0</v>
      </c>
      <c r="CC121" s="214">
        <f>BW121*conversions!$C$1*1000000/L121</f>
        <v>26803.566844496516</v>
      </c>
      <c r="CD121" s="173">
        <f t="shared" si="189"/>
        <v>2065</v>
      </c>
      <c r="CE121" s="173"/>
      <c r="CF121" s="173"/>
      <c r="CG121" s="173"/>
      <c r="CH121" s="173"/>
      <c r="CI121" s="173">
        <f t="shared" si="222"/>
        <v>0</v>
      </c>
      <c r="CJ121" s="173">
        <f t="shared" si="223"/>
        <v>1897.5897864678325</v>
      </c>
      <c r="CK121" s="173">
        <f t="shared" si="224"/>
        <v>2011.3620349303071</v>
      </c>
      <c r="CL121" s="173">
        <f t="shared" si="225"/>
        <v>2143.0300372958864</v>
      </c>
      <c r="CM121" s="173"/>
      <c r="CN121" s="173"/>
      <c r="CO121" s="329">
        <f t="shared" si="169"/>
        <v>19090.043577934812</v>
      </c>
      <c r="CP121" s="174">
        <f t="shared" si="226"/>
        <v>0</v>
      </c>
      <c r="CQ121" s="228">
        <f t="shared" si="227"/>
        <v>10</v>
      </c>
      <c r="CR121" s="228">
        <f t="shared" si="170"/>
        <v>295</v>
      </c>
      <c r="CS121" s="214">
        <f t="shared" ca="1" si="228"/>
        <v>-8.4259230248633141</v>
      </c>
      <c r="CT121" s="190">
        <f t="shared" ca="1" si="229"/>
        <v>-0.76995089332260203</v>
      </c>
      <c r="CU121" s="190">
        <f t="shared" ca="1" si="236"/>
        <v>-8.4259230248633141</v>
      </c>
      <c r="CV121" s="198">
        <f t="shared" si="174"/>
        <v>3203.9310777670239</v>
      </c>
      <c r="CW121" s="198">
        <f t="shared" ca="1" si="171"/>
        <v>3796.7308802145135</v>
      </c>
      <c r="CX121" s="198">
        <f t="shared" ca="1" si="230"/>
        <v>3500.1518775316231</v>
      </c>
      <c r="CY121" s="198">
        <f t="shared" ca="1" si="173"/>
        <v>-296.57900268288984</v>
      </c>
      <c r="CZ121" s="199">
        <f ca="1">IF(CX121&lt;intermediates!$B$55,intermediates!$B$56+(CX121-intermediates!$B$55)*intermediates!$B$53,intermediates!$B$56+(data!CX121-intermediates!$B$55)*intermediates!$B$58)</f>
        <v>1.8724732890068856</v>
      </c>
      <c r="DG121" s="201">
        <f>IF(A121&gt;MAX(intermediates!B$31,intermediates!$B$32),DG120,DG120+intermediates!$B$60*DG$73)</f>
        <v>19138052710000</v>
      </c>
      <c r="DH121" s="201">
        <f>IF(A121&gt;MAX(intermediates!B$31,intermediates!$B$32),DH120,DH120+intermediates!$B$61*DH$73)</f>
        <v>28923718745000</v>
      </c>
      <c r="DI121" s="201">
        <f>IF(A121&gt;MAX(intermediates!B$31,intermediates!$B$32),DI120,DI120+intermediates!$B$62*DI$73)</f>
        <v>38794139084000</v>
      </c>
      <c r="DJ121" s="221"/>
      <c r="EE121" s="218"/>
      <c r="EF121" s="212">
        <f>$EF$69+intermediates!$B$90*(A121-2013)*intermediates!$B$92+intermediates!$B$91*intermediates!$B$92*(A121-2013)^2</f>
        <v>3093.244168549219</v>
      </c>
      <c r="EH121" s="212">
        <f>IF(A121&lt;intermediates!$B$29,data!EH120,IF(A121&lt;intermediates!$B$31,data!$EH$69+(intermediates!$B$93-data!$EH$69)*(data!A121-intermediates!$B$29)/(intermediates!$B$31-intermediates!$B$29),intermediates!$B$93))</f>
        <v>2.522212345090466E-2</v>
      </c>
      <c r="EI121" s="212">
        <f t="shared" si="128"/>
        <v>2.522212345090466E-2</v>
      </c>
      <c r="EN121" s="218"/>
      <c r="EO121" s="212">
        <f t="shared" si="129"/>
        <v>3015.2259822662795</v>
      </c>
      <c r="EQ121" s="212">
        <f t="shared" si="130"/>
        <v>78.018186282939496</v>
      </c>
      <c r="ET121" s="214">
        <f>IF(A121&lt;intermediates!$B$29,ET120+intermediates!$B$63,ET120+intermediates!$B$63*intermediates!$B$67)</f>
        <v>1304.4822110892553</v>
      </c>
      <c r="EU121" s="215">
        <f t="shared" si="131"/>
        <v>1304.4822110892553</v>
      </c>
      <c r="EV121" s="216">
        <f>data!EU121*conversions!$C$13</f>
        <v>1.517112811496804</v>
      </c>
      <c r="EX121" s="212">
        <f>intermediates!$B$64+intermediates!$B$64*(EXP(-(data!A121-intermediates!$B$66)/intermediates!$B$65)-1)</f>
        <v>8.2783938474955236E-3</v>
      </c>
      <c r="EY121" s="217">
        <f>IF(A121&lt;intermediates!$B$29,data!EX121,data!EY120+(data!EX121-data!EX120)*intermediates!$B$68)</f>
        <v>8.2783938474955236E-3</v>
      </c>
      <c r="EZ121" s="217">
        <f t="shared" si="132"/>
        <v>8.2783938474955236E-3</v>
      </c>
      <c r="FB121" s="212">
        <f>intermediates!$B$94+intermediates!$B$95+(intermediates!$B$95*(EXP(-(data!A121-intermediates!$B$97)/intermediates!$B$96)-1))</f>
        <v>1.5836254371334657</v>
      </c>
      <c r="FC121" s="217">
        <f>IF(A121&lt;intermediates!$B$29,data!FB121,data!FC120+(data!FB121-data!FB120)*intermediates!$B$68)</f>
        <v>1.5836254371334657</v>
      </c>
      <c r="FD121" s="212">
        <f t="shared" si="133"/>
        <v>1.5836254371334657</v>
      </c>
      <c r="FF121" s="184">
        <f>intermediates!$B$98+intermediates!$B$99*EXP(-(A121-intermediates!$B$101)/intermediates!$B$100)</f>
        <v>0.89447279876018115</v>
      </c>
      <c r="FG121" s="184">
        <f t="shared" si="101"/>
        <v>0.89447279876018115</v>
      </c>
      <c r="FI121" s="184">
        <f>intermediates!$B$102+intermediates!$B$103*EXP(-(A121-intermediates!$B$105)/intermediates!$B$104)</f>
        <v>1.5959520610591069E-2</v>
      </c>
      <c r="FJ121" s="184">
        <f t="shared" si="134"/>
        <v>1.5959520610591069E-2</v>
      </c>
      <c r="FL121" s="184">
        <f>intermediates!$B$106</f>
        <v>4.5616870531049965E-2</v>
      </c>
      <c r="FM121" s="184">
        <f t="shared" si="135"/>
        <v>4.5616870531049965E-2</v>
      </c>
      <c r="FN121" s="218">
        <f>IF(A121&lt;intermediates!$B$29,0,IF(A121&lt;intermediates!$B$31,(data!A121-intermediates!$B$29)/(intermediates!$B$31-intermediates!$B$29),1))</f>
        <v>1</v>
      </c>
      <c r="FO121" s="218">
        <f t="shared" si="232"/>
        <v>311632809077971.06</v>
      </c>
      <c r="FP121" s="218">
        <f t="shared" si="177"/>
        <v>348398307371584.5</v>
      </c>
      <c r="FQ121" s="218">
        <f t="shared" si="178"/>
        <v>2884178404222.7793</v>
      </c>
      <c r="FR121" s="218">
        <f t="shared" si="179"/>
        <v>551732421807885.06</v>
      </c>
      <c r="FS121" s="218">
        <f t="shared" si="180"/>
        <v>422951280682.61133</v>
      </c>
      <c r="FT121" s="218">
        <f>intermediates!$B$69*data!EU121/intermediates!$B$71</f>
        <v>3.3203426450720981</v>
      </c>
      <c r="FU121" s="218">
        <f>BC121*conversions!$C$1*1000000</f>
        <v>23465890407520.25</v>
      </c>
      <c r="FV121" s="218">
        <f t="shared" si="184"/>
        <v>7067309888136.7744</v>
      </c>
      <c r="FX121" s="221"/>
      <c r="FY121" s="221"/>
      <c r="FZ121" s="221"/>
      <c r="GA121" s="218">
        <f t="shared" si="190"/>
        <v>1367.9318866204844</v>
      </c>
      <c r="GB121" s="218">
        <f>GA121*1000000*10000*intermediates!$B$71/(intermediates!$B$72*data!EU121)</f>
        <v>5149814465122.6982</v>
      </c>
      <c r="GC121" s="218">
        <f t="shared" si="233"/>
        <v>9232706506705.3555</v>
      </c>
      <c r="GD121" s="218">
        <f t="shared" si="144"/>
        <v>21872782140647.438</v>
      </c>
      <c r="GE121" s="218">
        <f t="shared" si="182"/>
        <v>23308004971504.086</v>
      </c>
      <c r="GF121" s="218">
        <f t="shared" si="183"/>
        <v>371984585734.47858</v>
      </c>
      <c r="GG121" s="218">
        <f t="shared" si="136"/>
        <v>1063238245122.1708</v>
      </c>
      <c r="GH121" s="218">
        <f t="shared" si="191"/>
        <v>9471600380787.2051</v>
      </c>
      <c r="GI121" s="218">
        <f t="shared" si="145"/>
        <v>184057406600.76172</v>
      </c>
      <c r="GJ121" s="218">
        <f>ET121*intermediates!$B$73/intermediates!$B$71</f>
        <v>4.9805139676081476</v>
      </c>
      <c r="GK121" s="218">
        <f>CL121*conversions!$C$1*1000000/data!GJ121</f>
        <v>5019967269320.2705</v>
      </c>
      <c r="GL121" s="218">
        <f>MIN(1,FN121)*(intermediates!$B$75-data!$GL$69)+data!$GL$69</f>
        <v>1</v>
      </c>
      <c r="GM121" s="218">
        <f>GL121*intermediates!$B$74*(FS121+GC121+GK121+GG121+GF121+GB121+FV121)</f>
        <v>4249195836123.6538</v>
      </c>
      <c r="GN121" s="218">
        <f>MIN(1,FN121)*intermediates!$B$76</f>
        <v>0.12</v>
      </c>
      <c r="GO121" s="218">
        <f t="shared" si="137"/>
        <v>3909260169233.7617</v>
      </c>
      <c r="GP121" s="218">
        <f>IF(A121&gt;intermediates!$B$29,MIN(1,(A121-intermediates!$B$29)/(intermediates!$B$31-intermediates!$B$29))*intermediates!$B$77,0)</f>
        <v>0.15</v>
      </c>
      <c r="GQ121" s="218">
        <f>IF(AND(A121&gt;intermediates!$B$29+intermediates!$B$30,data!GP121&lt;intermediates!$B$77),1,0)</f>
        <v>0</v>
      </c>
      <c r="GR121" s="218">
        <f t="shared" si="192"/>
        <v>7209265718250</v>
      </c>
      <c r="GS121" s="218">
        <f t="shared" si="193"/>
        <v>46579872368654.563</v>
      </c>
      <c r="GT121" s="218">
        <f t="shared" si="188"/>
        <v>86855910539000</v>
      </c>
      <c r="GU121" s="218">
        <f t="shared" si="194"/>
        <v>46003404802250</v>
      </c>
      <c r="GV121" s="218">
        <f t="shared" si="195"/>
        <v>32577168076948.012</v>
      </c>
      <c r="GW121" s="218">
        <f t="shared" si="196"/>
        <v>1481899086345.4375</v>
      </c>
      <c r="GX121" s="218">
        <f>MIN(intermediates!$B$88,FN121*intermediates!$B$87*GO121)</f>
        <v>1954630084616.8809</v>
      </c>
      <c r="GY121" s="218">
        <f t="shared" si="197"/>
        <v>1954630084616.8809</v>
      </c>
      <c r="GZ121" s="218">
        <f>MIN(intermediates!$B$88-GX121,intermediates!$B$87*data!GW121*FN121)</f>
        <v>740949543172.71875</v>
      </c>
      <c r="HA121" s="218">
        <f t="shared" si="138"/>
        <v>740949543172.71875</v>
      </c>
      <c r="HB121" s="218">
        <f t="shared" si="139"/>
        <v>2695579627789.5996</v>
      </c>
      <c r="HC121" s="218">
        <f t="shared" si="198"/>
        <v>5579758032012.3789</v>
      </c>
      <c r="HD121" s="218">
        <f>HC121*intermediates!$B$79/(10000*1000000000)</f>
        <v>370.35200028461327</v>
      </c>
      <c r="HE121" s="218">
        <f>(GV121*intermediates!$B$80+GV121*GL121*intermediates!$B$82)/(10000*1000000000)</f>
        <v>1214.5792617048853</v>
      </c>
      <c r="HF121" s="218">
        <f>GU121*intermediates!$B$78/(10000*1000000000)</f>
        <v>4632.5130731587205</v>
      </c>
      <c r="HG121" s="218">
        <f>HB121*intermediates!$B$81/(10000*1000000000)</f>
        <v>677.57035458079531</v>
      </c>
      <c r="HH121" s="218">
        <f t="shared" si="199"/>
        <v>0</v>
      </c>
      <c r="HI121" s="218">
        <f t="shared" si="200"/>
        <v>12.338943875322457</v>
      </c>
      <c r="HJ121" s="218">
        <f t="shared" si="201"/>
        <v>-4.2096694332312836</v>
      </c>
      <c r="HK121" s="218">
        <f ca="1">SUM(HJ121:INDIRECT(ADDRESS(MAX(CELL("row",HJ121)-intermediates!$B$83,69),CELL("col",HJ121))))/intermediates!$B$83+SUM(HH121:INDIRECT(ADDRESS(MAX(CELL("row",HH121)-intermediates!$B$84,69),CELL("col",HH121))))/intermediates!$B$84+SUM(HI121:INDIRECT(ADDRESS(MAX(CELL("row",HI121)-intermediates!$B$85,69),CELL("col",HI121))))/intermediates!$B$85</f>
        <v>-1.5740769751366859</v>
      </c>
      <c r="HL121" s="218">
        <f t="shared" ca="1" si="163"/>
        <v>-591.22079976459759</v>
      </c>
      <c r="HM121" s="188">
        <f t="shared" si="202"/>
        <v>2065</v>
      </c>
      <c r="HQ121" s="185">
        <f t="shared" si="203"/>
        <v>996.65262195450737</v>
      </c>
      <c r="HR121" s="185">
        <f t="shared" si="204"/>
        <v>645.80242968061532</v>
      </c>
      <c r="HS121" s="185">
        <f t="shared" si="205"/>
        <v>470.58396286870914</v>
      </c>
      <c r="HT121" s="185">
        <f t="shared" si="206"/>
        <v>458.7186794916235</v>
      </c>
      <c r="HU121" s="185">
        <f t="shared" si="207"/>
        <v>388.28649636033924</v>
      </c>
      <c r="HV121" s="185">
        <f t="shared" si="208"/>
        <v>357.22357665151213</v>
      </c>
      <c r="HW121" s="185">
        <f t="shared" si="209"/>
        <v>658.77418575831848</v>
      </c>
      <c r="HX121" s="185">
        <f t="shared" si="210"/>
        <v>16.81894840680636</v>
      </c>
      <c r="HY121" s="185">
        <f t="shared" si="211"/>
        <v>263.55281579006709</v>
      </c>
      <c r="HZ121" s="185">
        <f t="shared" si="140"/>
        <v>3976.041952765625</v>
      </c>
      <c r="IA121" s="185">
        <f t="shared" si="141"/>
        <v>4256.4137169624983</v>
      </c>
      <c r="IB121" s="185">
        <f t="shared" si="212"/>
        <v>2564.0402559406521</v>
      </c>
      <c r="IC121" s="185">
        <f t="shared" si="231"/>
        <v>4391.8279050554565</v>
      </c>
      <c r="ID121" s="185">
        <f t="shared" si="213"/>
        <v>3544.9626059088778</v>
      </c>
      <c r="IE121" s="184">
        <f t="shared" si="142"/>
        <v>-0.11728923503925932</v>
      </c>
      <c r="IF121" s="184">
        <f t="shared" si="143"/>
        <v>-3.8199045560380465E-2</v>
      </c>
    </row>
    <row r="122" spans="1:240" x14ac:dyDescent="0.3">
      <c r="A122" s="211">
        <v>2066</v>
      </c>
      <c r="E122" s="207">
        <v>8776697.8420000002</v>
      </c>
      <c r="F122" s="207">
        <v>10348098.079</v>
      </c>
      <c r="G122" s="207">
        <v>12108763.780999999</v>
      </c>
      <c r="I122" s="207">
        <f t="shared" si="164"/>
        <v>8776697842</v>
      </c>
      <c r="J122" s="207">
        <f t="shared" si="164"/>
        <v>10348098079</v>
      </c>
      <c r="K122" s="207">
        <f t="shared" si="164"/>
        <v>12108763781</v>
      </c>
      <c r="L122" s="187">
        <f>IF(intermediates!$B$4&gt;=2,(intermediates!$B$4-2)*K122+(1-(intermediates!$B$4-2))*J122,(intermediates!$B$4-1)*J122+(1-(intermediates!$B$4-1))*I122)</f>
        <v>10998240540.584127</v>
      </c>
      <c r="AJ122" s="184">
        <f>IF(intermediates!$B$46=0,$AJ$74+(intermediates!$B$15-$AJ$74)*MIN(1,(data!A122-data!$A$74)/(intermediates!$B$32-data!$A$74)),IF(A122&lt;2021,$AJ$74+(intermediates!$B$15-$AJ$74)*MIN(1,(data!A122-data!$A$74)/(intermediates!$B$32-data!$A$74)),intermediates!$B$47+(intermediates!$B$15-intermediates!$B$47)*MIN(1,(data!A122-$A$77)/(intermediates!$B$32-$A$77))))</f>
        <v>26922.853475597218</v>
      </c>
      <c r="AK122" s="192">
        <f t="shared" si="146"/>
        <v>26922.853475597218</v>
      </c>
      <c r="AL122" s="192">
        <f t="shared" si="234"/>
        <v>296104018563519.63</v>
      </c>
      <c r="AM122" s="192">
        <f>data!AL122/(1000000*conversions!$C$1)</f>
        <v>25380.344448301683</v>
      </c>
      <c r="AN122" s="192">
        <f>IF(intermediates!$B$13=1,($AJ$74+(27400-$AJ$74)*MIN(1,(data!A122-data!$A$74)/(intermediates!$B$32-data!$A$74)))*L122/(1000000*conversions!$C$1),data!AM122)</f>
        <v>25380.344448301683</v>
      </c>
      <c r="AV122" s="214">
        <f>IF(A122&lt;intermediates!$B$29,0,IF(A122&lt;intermediates!$B$31,(data!A122-intermediates!$B$29)*intermediates!$B$26/(intermediates!$B$31-intermediates!$B$29),intermediates!$B$26))</f>
        <v>10</v>
      </c>
      <c r="AW122" s="212">
        <f>MIN(AW121+intermediates!$B$16,intermediates!$B$17*data!$AW$74)</f>
        <v>1897.5897864678325</v>
      </c>
      <c r="AX122" s="212">
        <f>AV122*1000/conversions!$C$16/intermediates!$B$40</f>
        <v>8187.0584968062822</v>
      </c>
      <c r="AY122" s="212">
        <f>AX122*(1-intermediates!$B$39)*intermediates!$B$28/(conversions!$C$2)</f>
        <v>2143.0300372958864</v>
      </c>
      <c r="AZ122" s="213">
        <f>IF(A122&lt;intermediates!$B$29,0,MIN(intermediates!$B$25,intermediates!$B$25*(A122-intermediates!$B$29)/(intermediates!$B$31-intermediates!$B$29)))</f>
        <v>0</v>
      </c>
      <c r="BA122" s="212">
        <f>IF(A122&lt;intermediates!$B$29,data!$BA$74,IF(intermediates!$B$23&gt;data!$BA$74,MIN(intermediates!$B$23,data!$BA$74+(intermediates!$B$23-data!$BA$74)*((data!A122-intermediates!$B$29)/(intermediates!$B$31-intermediates!$B$29))),MAX(intermediates!$B$23,data!$BA$74+(intermediates!$B$23-data!$BA$74)*((data!A122-intermediates!$B$29)/(intermediates!$B$31-intermediates!$B$29)))))</f>
        <v>0.08</v>
      </c>
      <c r="BB122" s="212">
        <f t="shared" si="214"/>
        <v>2030.4275558641348</v>
      </c>
      <c r="BC122" s="212">
        <f t="shared" si="166"/>
        <v>2030.4275558641348</v>
      </c>
      <c r="BD122" s="212">
        <f t="shared" si="167"/>
        <v>0</v>
      </c>
      <c r="BE122" s="214">
        <f>MAX(0,MIN(1,(data!A122-intermediates!$B$29)/(intermediates!$B$31-intermediates!$B$29)))*((intermediates!$B$38*L122)-$BE$69*1000000000)/1000000000+$BE$69</f>
        <v>1374.7800675730159</v>
      </c>
      <c r="BF122" s="214">
        <f t="shared" si="99"/>
        <v>1374.7800675730159</v>
      </c>
      <c r="BG122" s="214">
        <f t="shared" si="168"/>
        <v>0</v>
      </c>
      <c r="BH122" s="214">
        <f>BD122*conversions!$C$2/conversions!$C$17+BG122*conversions!$C$6/conversions!$C$10</f>
        <v>0</v>
      </c>
      <c r="BI122" s="214">
        <f>BH122*intermediates!$B$41*conversions!$C$11/(conversions!$C$2*conversions!$C$6*intermediates!$B$42)</f>
        <v>0</v>
      </c>
      <c r="BJ122" s="214">
        <f>BH122*intermediates!$B$43/(conversions!$C$1*intermediates!$B$42)</f>
        <v>0</v>
      </c>
      <c r="BK122" s="214">
        <f t="shared" si="215"/>
        <v>0</v>
      </c>
      <c r="BL122" s="214">
        <f t="shared" si="216"/>
        <v>25380.344448301683</v>
      </c>
      <c r="BM122" s="214">
        <f t="shared" si="217"/>
        <v>19309.29706867383</v>
      </c>
      <c r="BN122" s="214">
        <f>IF(A122&lt;intermediates!$B$29,MIN(BO121+intermediates!$B$33*AN121),MIN(BO121*intermediates!$B$35,BO121+intermediates!$B$37*AN121))</f>
        <v>19843.960584334392</v>
      </c>
      <c r="BO122" s="212">
        <f>IF(A122&lt;intermediates!$B$29,MIN(BM122,BO121+intermediates!$B$33*AN121),MIN(BM122,BO121*intermediates!$B$35,BO121+intermediates!$B$37*AN121))</f>
        <v>19309.29706867383</v>
      </c>
      <c r="BP122" s="214">
        <f t="shared" si="218"/>
        <v>534.66351566056255</v>
      </c>
      <c r="BQ122" s="214">
        <f t="shared" si="219"/>
        <v>0</v>
      </c>
      <c r="BR122" s="212" t="str">
        <f t="shared" si="235"/>
        <v/>
      </c>
      <c r="BS122" s="212">
        <f>BP122*conversions!$C$1*intermediates!$B$42/intermediates!$B$43</f>
        <v>1193.3029315440283</v>
      </c>
      <c r="BT122" s="214">
        <f>MIN(BT121+BS122,intermediates!$B$27*1000)</f>
        <v>0</v>
      </c>
      <c r="BU122" s="219" t="str">
        <f>IF(AND(BT122=intermediates!$B$27*1000,BT121&lt;&gt;intermediates!$B$27*1000),A122,"")</f>
        <v/>
      </c>
      <c r="BV122" s="212">
        <f>BT122*intermediates!$B$43/(conversions!$C$1*intermediates!$B$42)</f>
        <v>0</v>
      </c>
      <c r="BW122" s="214">
        <f t="shared" si="220"/>
        <v>25380.344448301683</v>
      </c>
      <c r="BX122" s="214">
        <f t="shared" si="221"/>
        <v>19309.29706867383</v>
      </c>
      <c r="BY122" s="227">
        <f>IF(OR(BQ122&gt;0,BT122&lt;&gt;intermediates!$B$27*1000),MAX(0,(BX122-BX121)/AM121),0.000000000001)</f>
        <v>9.9999999999999998E-13</v>
      </c>
      <c r="BZ122" s="322">
        <f>BH122*intermediates!$B$49*1000000</f>
        <v>0</v>
      </c>
      <c r="CA122" s="322">
        <f>BI122*conversions!$C$1*1000000*intermediates!$B$50</f>
        <v>0</v>
      </c>
      <c r="CB122" s="322">
        <f>BT122*1000000*intermediates!$B$49</f>
        <v>0</v>
      </c>
      <c r="CC122" s="214">
        <f>BW122*conversions!$C$1*1000000/L122</f>
        <v>26922.853475597221</v>
      </c>
      <c r="CD122" s="173">
        <f t="shared" si="189"/>
        <v>2066</v>
      </c>
      <c r="CE122" s="173"/>
      <c r="CF122" s="173"/>
      <c r="CG122" s="173"/>
      <c r="CH122" s="173"/>
      <c r="CI122" s="173">
        <f t="shared" si="222"/>
        <v>0</v>
      </c>
      <c r="CJ122" s="173">
        <f t="shared" si="223"/>
        <v>1897.5897864678325</v>
      </c>
      <c r="CK122" s="173">
        <f t="shared" si="224"/>
        <v>2030.4275558641348</v>
      </c>
      <c r="CL122" s="173">
        <f t="shared" si="225"/>
        <v>2143.0300372958864</v>
      </c>
      <c r="CM122" s="173"/>
      <c r="CN122" s="173"/>
      <c r="CO122" s="329">
        <f t="shared" si="169"/>
        <v>19309.29706867383</v>
      </c>
      <c r="CP122" s="174">
        <f t="shared" si="226"/>
        <v>0</v>
      </c>
      <c r="CQ122" s="228">
        <f t="shared" si="227"/>
        <v>10</v>
      </c>
      <c r="CR122" s="228">
        <f t="shared" si="170"/>
        <v>305</v>
      </c>
      <c r="CS122" s="214">
        <f t="shared" ca="1" si="228"/>
        <v>-9.8410350187228541</v>
      </c>
      <c r="CT122" s="190">
        <f t="shared" ca="1" si="229"/>
        <v>-0.89478266841035903</v>
      </c>
      <c r="CU122" s="190">
        <f t="shared" ca="1" si="236"/>
        <v>-9.8410350187228541</v>
      </c>
      <c r="CV122" s="198">
        <f t="shared" si="174"/>
        <v>3203.9310777670239</v>
      </c>
      <c r="CW122" s="198">
        <f t="shared" ca="1" si="171"/>
        <v>3796.8898451957907</v>
      </c>
      <c r="CX122" s="198">
        <f t="shared" ca="1" si="230"/>
        <v>3490.3108425129003</v>
      </c>
      <c r="CY122" s="198">
        <f t="shared" ca="1" si="173"/>
        <v>-306.57900268288984</v>
      </c>
      <c r="CZ122" s="199">
        <f ca="1">IF(CX122&lt;intermediates!$B$55,intermediates!$B$56+(CX122-intermediates!$B$55)*intermediates!$B$53,intermediates!$B$56+(data!CX122-intermediates!$B$55)*intermediates!$B$58)</f>
        <v>1.8671217371385849</v>
      </c>
      <c r="DG122" s="201">
        <f>IF(A122&gt;MAX(intermediates!B$31,intermediates!$B$32),DG121,DG121+intermediates!$B$60*DG$73)</f>
        <v>19211483651250</v>
      </c>
      <c r="DH122" s="201">
        <f>IF(A122&gt;MAX(intermediates!B$31,intermediates!$B$32),DH121,DH121+intermediates!$B$61*DH$73)</f>
        <v>28845791461875</v>
      </c>
      <c r="DI122" s="201">
        <f>IF(A122&gt;MAX(intermediates!B$31,intermediates!$B$32),DI121,DI121+intermediates!$B$62*DI$73)</f>
        <v>38769197477000</v>
      </c>
      <c r="DJ122" s="221"/>
      <c r="EE122" s="218"/>
      <c r="EF122" s="212">
        <f>$EF$69+intermediates!$B$90*(A122-2013)*intermediates!$B$92+intermediates!$B$91*intermediates!$B$92*(A122-2013)^2</f>
        <v>3096.9418585492185</v>
      </c>
      <c r="EH122" s="212">
        <f>IF(A122&lt;intermediates!$B$29,data!EH121,IF(A122&lt;intermediates!$B$31,data!$EH$69+(intermediates!$B$93-data!$EH$69)*(data!A122-intermediates!$B$29)/(intermediates!$B$31-intermediates!$B$29),intermediates!$B$93))</f>
        <v>2.522212345090466E-2</v>
      </c>
      <c r="EI122" s="212">
        <f t="shared" si="128"/>
        <v>2.522212345090466E-2</v>
      </c>
      <c r="EN122" s="218"/>
      <c r="EO122" s="212">
        <f t="shared" si="129"/>
        <v>3018.8304086726157</v>
      </c>
      <c r="EQ122" s="212">
        <f t="shared" si="130"/>
        <v>78.111449876602819</v>
      </c>
      <c r="ET122" s="214">
        <f>IF(A122&lt;intermediates!$B$29,ET121+intermediates!$B$63,ET121+intermediates!$B$63*intermediates!$B$67)</f>
        <v>1314.4578004806981</v>
      </c>
      <c r="EU122" s="215">
        <f t="shared" si="131"/>
        <v>1314.4578004806981</v>
      </c>
      <c r="EV122" s="216">
        <f>data!EU122*conversions!$C$13</f>
        <v>1.5287144219590518</v>
      </c>
      <c r="EX122" s="212">
        <f>intermediates!$B$64+intermediates!$B$64*(EXP(-(data!A122-intermediates!$B$66)/intermediates!$B$65)-1)</f>
        <v>8.1244944784405835E-3</v>
      </c>
      <c r="EY122" s="217">
        <f>IF(A122&lt;intermediates!$B$29,data!EX122,data!EY121+(data!EX122-data!EX121)*intermediates!$B$68)</f>
        <v>8.1244944784405835E-3</v>
      </c>
      <c r="EZ122" s="217">
        <f t="shared" si="132"/>
        <v>8.1244944784405835E-3</v>
      </c>
      <c r="FB122" s="212">
        <f>intermediates!$B$94+intermediates!$B$95+(intermediates!$B$95*(EXP(-(data!A122-intermediates!$B$97)/intermediates!$B$96)-1))</f>
        <v>1.5813449331204583</v>
      </c>
      <c r="FC122" s="217">
        <f>IF(A122&lt;intermediates!$B$29,data!FB122,data!FC121+(data!FB122-data!FB121)*intermediates!$B$68)</f>
        <v>1.5813449331204583</v>
      </c>
      <c r="FD122" s="212">
        <f t="shared" si="133"/>
        <v>1.5813449331204583</v>
      </c>
      <c r="FF122" s="184">
        <f>intermediates!$B$98+intermediates!$B$99*EXP(-(A122-intermediates!$B$101)/intermediates!$B$100)</f>
        <v>0.89481254557525369</v>
      </c>
      <c r="FG122" s="184">
        <f t="shared" si="101"/>
        <v>0.89481254557525369</v>
      </c>
      <c r="FI122" s="184">
        <f>intermediates!$B$102+intermediates!$B$103*EXP(-(A122-intermediates!$B$105)/intermediates!$B$104)</f>
        <v>1.58714602978084E-2</v>
      </c>
      <c r="FJ122" s="184">
        <f t="shared" si="134"/>
        <v>1.58714602978084E-2</v>
      </c>
      <c r="FL122" s="184">
        <f>intermediates!$B$106</f>
        <v>4.5616870531049965E-2</v>
      </c>
      <c r="FM122" s="184">
        <f t="shared" si="135"/>
        <v>4.5616870531049965E-2</v>
      </c>
      <c r="FN122" s="218">
        <f>IF(A122&lt;intermediates!$B$29,0,IF(A122&lt;intermediates!$B$31,(data!A122-intermediates!$B$29)/(intermediates!$B$31-intermediates!$B$29),1))</f>
        <v>1</v>
      </c>
      <c r="FO122" s="218">
        <f t="shared" si="232"/>
        <v>313567307871580.25</v>
      </c>
      <c r="FP122" s="218">
        <f t="shared" si="177"/>
        <v>350427929762646.88</v>
      </c>
      <c r="FQ122" s="218">
        <f t="shared" si="178"/>
        <v>2847049780447.9893</v>
      </c>
      <c r="FR122" s="218">
        <f t="shared" si="179"/>
        <v>554147431154053.5</v>
      </c>
      <c r="FS122" s="218">
        <f t="shared" si="180"/>
        <v>421578715536.8559</v>
      </c>
      <c r="FT122" s="218">
        <f>intermediates!$B$69*data!EU122/intermediates!$B$71</f>
        <v>3.3457338497850233</v>
      </c>
      <c r="FU122" s="218">
        <f>BC122*conversions!$C$1*1000000</f>
        <v>23688321485081.57</v>
      </c>
      <c r="FV122" s="218">
        <f t="shared" si="184"/>
        <v>7080157163906.9971</v>
      </c>
      <c r="FX122" s="221"/>
      <c r="FY122" s="221"/>
      <c r="FZ122" s="221"/>
      <c r="GA122" s="218">
        <f t="shared" si="190"/>
        <v>1374.7800675730159</v>
      </c>
      <c r="GB122" s="218">
        <f>GA122*1000000*10000*intermediates!$B$71/(intermediates!$B$72*data!EU122)</f>
        <v>5136317357032.7148</v>
      </c>
      <c r="GC122" s="218">
        <f t="shared" si="233"/>
        <v>9219516507406.5723</v>
      </c>
      <c r="GD122" s="218">
        <f t="shared" si="144"/>
        <v>21857569743883.137</v>
      </c>
      <c r="GE122" s="218">
        <f t="shared" si="182"/>
        <v>23289608922163.883</v>
      </c>
      <c r="GF122" s="218">
        <f t="shared" si="183"/>
        <v>369640103359.60834</v>
      </c>
      <c r="GG122" s="218">
        <f t="shared" si="136"/>
        <v>1062399074921.136</v>
      </c>
      <c r="GH122" s="218">
        <f t="shared" si="191"/>
        <v>9458069093694.9297</v>
      </c>
      <c r="GI122" s="218">
        <f t="shared" si="145"/>
        <v>183026129248.49805</v>
      </c>
      <c r="GJ122" s="218">
        <f>ET122*intermediates!$B$73/intermediates!$B$71</f>
        <v>5.0186007746775347</v>
      </c>
      <c r="GK122" s="218">
        <f>CL122*conversions!$C$1*1000000/data!GJ122</f>
        <v>4981870091747.2002</v>
      </c>
      <c r="GL122" s="218">
        <f>MIN(1,FN122)*(intermediates!$B$75-data!$GL$69)+data!$GL$69</f>
        <v>1</v>
      </c>
      <c r="GM122" s="218">
        <f>GL122*intermediates!$B$74*(FS122+GC122+GK122+GG122+GF122+GB122+FV122)</f>
        <v>4240721852086.6621</v>
      </c>
      <c r="GN122" s="218">
        <f>MIN(1,FN122)*intermediates!$B$76</f>
        <v>0.12</v>
      </c>
      <c r="GO122" s="218">
        <f t="shared" si="137"/>
        <v>3901464103919.7295</v>
      </c>
      <c r="GP122" s="218">
        <f>IF(A122&gt;intermediates!$B$29,MIN(1,(A122-intermediates!$B$29)/(intermediates!$B$31-intermediates!$B$29))*intermediates!$B$77,0)</f>
        <v>0.15</v>
      </c>
      <c r="GQ122" s="218">
        <f>IF(AND(A122&gt;intermediates!$B$29+intermediates!$B$30,data!GP122&lt;intermediates!$B$77),1,0)</f>
        <v>0</v>
      </c>
      <c r="GR122" s="218">
        <f t="shared" si="192"/>
        <v>7208591266968.75</v>
      </c>
      <c r="GS122" s="218">
        <f t="shared" si="193"/>
        <v>46469306017334.211</v>
      </c>
      <c r="GT122" s="218">
        <f t="shared" si="188"/>
        <v>86826472590125</v>
      </c>
      <c r="GU122" s="218">
        <f t="shared" si="194"/>
        <v>45977788743968.75</v>
      </c>
      <c r="GV122" s="218">
        <f t="shared" si="195"/>
        <v>32512200865997.75</v>
      </c>
      <c r="GW122" s="218">
        <f t="shared" si="196"/>
        <v>1587969095790.7891</v>
      </c>
      <c r="GX122" s="218">
        <f>MIN(intermediates!$B$88,FN122*intermediates!$B$87*GO122)</f>
        <v>1950732051959.8647</v>
      </c>
      <c r="GY122" s="218">
        <f t="shared" si="197"/>
        <v>1950732051959.8647</v>
      </c>
      <c r="GZ122" s="218">
        <f>MIN(intermediates!$B$88-GX122,intermediates!$B$87*data!GW122*FN122)</f>
        <v>793984547895.39453</v>
      </c>
      <c r="HA122" s="218">
        <f t="shared" si="138"/>
        <v>793984547895.39453</v>
      </c>
      <c r="HB122" s="218">
        <f t="shared" si="139"/>
        <v>2744716599855.2593</v>
      </c>
      <c r="HC122" s="218">
        <f t="shared" si="198"/>
        <v>5591766380303.248</v>
      </c>
      <c r="HD122" s="218">
        <f>HC122*intermediates!$B$79/(10000*1000000000)</f>
        <v>371.1490448489335</v>
      </c>
      <c r="HE122" s="218">
        <f>(GV122*intermediates!$B$80+GV122*GL122*intermediates!$B$82)/(10000*1000000000)</f>
        <v>1212.1570797974643</v>
      </c>
      <c r="HF122" s="218">
        <f>GU122*intermediates!$B$78/(10000*1000000000)</f>
        <v>4629.9335526779914</v>
      </c>
      <c r="HG122" s="218">
        <f>HB122*intermediates!$B$81/(10000*1000000000)</f>
        <v>689.92159631089294</v>
      </c>
      <c r="HH122" s="218">
        <f t="shared" si="199"/>
        <v>0</v>
      </c>
      <c r="HI122" s="218">
        <f t="shared" si="200"/>
        <v>12.351241730097627</v>
      </c>
      <c r="HJ122" s="218">
        <f t="shared" si="201"/>
        <v>-4.204657823829848</v>
      </c>
      <c r="HK122" s="218">
        <f ca="1">SUM(HJ122:INDIRECT(ADDRESS(MAX(CELL("row",HJ122)-intermediates!$B$83,69),CELL("col",HJ122))))/intermediates!$B$83+SUM(HH122:INDIRECT(ADDRESS(MAX(CELL("row",HH122)-intermediates!$B$84,69),CELL("col",HH122))))/intermediates!$B$84+SUM(HI122:INDIRECT(ADDRESS(MAX(CELL("row",HI122)-intermediates!$B$85,69),CELL("col",HI122))))/intermediates!$B$85</f>
        <v>-0.15896498127714587</v>
      </c>
      <c r="HL122" s="218">
        <f t="shared" ca="1" si="163"/>
        <v>-591.3797647458747</v>
      </c>
      <c r="HM122" s="188">
        <f t="shared" si="202"/>
        <v>2066</v>
      </c>
      <c r="HQ122" s="185">
        <f t="shared" si="203"/>
        <v>990.16822116142669</v>
      </c>
      <c r="HR122" s="185">
        <f t="shared" si="204"/>
        <v>643.75362020687021</v>
      </c>
      <c r="HS122" s="185">
        <f t="shared" si="205"/>
        <v>467.01264062005322</v>
      </c>
      <c r="HT122" s="185">
        <f t="shared" si="206"/>
        <v>452.96973396461175</v>
      </c>
      <c r="HU122" s="185">
        <f t="shared" si="207"/>
        <v>385.58184251727897</v>
      </c>
      <c r="HV122" s="185">
        <f t="shared" si="208"/>
        <v>354.73529511589669</v>
      </c>
      <c r="HW122" s="185">
        <f t="shared" si="209"/>
        <v>655.43131561531516</v>
      </c>
      <c r="HX122" s="185">
        <f t="shared" si="210"/>
        <v>16.64140082889816</v>
      </c>
      <c r="HY122" s="185">
        <f t="shared" si="211"/>
        <v>258.86411284988861</v>
      </c>
      <c r="HZ122" s="185">
        <f t="shared" si="140"/>
        <v>3949.6526692014531</v>
      </c>
      <c r="IA122" s="185">
        <f t="shared" si="141"/>
        <v>4225.15818288024</v>
      </c>
      <c r="IB122" s="185">
        <f t="shared" si="212"/>
        <v>2573.8782416672893</v>
      </c>
      <c r="IC122" s="185">
        <f t="shared" si="231"/>
        <v>4369.5421041021009</v>
      </c>
      <c r="ID122" s="185">
        <f t="shared" si="213"/>
        <v>3525.0363304875427</v>
      </c>
      <c r="IE122" s="184">
        <f t="shared" si="142"/>
        <v>-0.11911634250946102</v>
      </c>
      <c r="IF122" s="184">
        <f t="shared" si="143"/>
        <v>-4.0959555501060986E-2</v>
      </c>
    </row>
    <row r="123" spans="1:240" x14ac:dyDescent="0.3">
      <c r="A123" s="211">
        <v>2067</v>
      </c>
      <c r="E123" s="207">
        <v>8753578.5479999892</v>
      </c>
      <c r="F123" s="207">
        <v>10377330.83</v>
      </c>
      <c r="G123" s="207">
        <v>12205524.598999999</v>
      </c>
      <c r="I123" s="207">
        <f t="shared" si="164"/>
        <v>8753578547.9999886</v>
      </c>
      <c r="J123" s="207">
        <f t="shared" si="164"/>
        <v>10377330830</v>
      </c>
      <c r="K123" s="207">
        <f t="shared" si="164"/>
        <v>12205524599</v>
      </c>
      <c r="L123" s="187">
        <f>IF(intermediates!$B$4&gt;=2,(intermediates!$B$4-2)*K123+(1-(intermediates!$B$4-2))*J123,(intermediates!$B$4-1)*J123+(1-(intermediates!$B$4-1))*I123)</f>
        <v>11052408668.956181</v>
      </c>
      <c r="AJ123" s="184">
        <f>IF(intermediates!$B$46=0,$AJ$74+(intermediates!$B$15-$AJ$74)*MIN(1,(data!A123-data!$A$74)/(intermediates!$B$32-data!$A$74)),IF(A123&lt;2021,$AJ$74+(intermediates!$B$15-$AJ$74)*MIN(1,(data!A123-data!$A$74)/(intermediates!$B$32-data!$A$74)),intermediates!$B$47+(intermediates!$B$15-intermediates!$B$47)*MIN(1,(data!A123-$A$77)/(intermediates!$B$32-$A$77))))</f>
        <v>27042.140106697912</v>
      </c>
      <c r="AK123" s="192">
        <f t="shared" si="146"/>
        <v>27042.140106697912</v>
      </c>
      <c r="AL123" s="192">
        <f t="shared" si="234"/>
        <v>298880783742395.63</v>
      </c>
      <c r="AM123" s="192">
        <f>data!AL123/(1000000*conversions!$C$1)</f>
        <v>25618.352892205341</v>
      </c>
      <c r="AN123" s="192">
        <f>IF(intermediates!$B$13=1,($AJ$74+(27400-$AJ$74)*MIN(1,(data!A123-data!$A$74)/(intermediates!$B$32-data!$A$74)))*L123/(1000000*conversions!$C$1),data!AM123)</f>
        <v>25618.352892205341</v>
      </c>
      <c r="AV123" s="214">
        <f>IF(A123&lt;intermediates!$B$29,0,IF(A123&lt;intermediates!$B$31,(data!A123-intermediates!$B$29)*intermediates!$B$26/(intermediates!$B$31-intermediates!$B$29),intermediates!$B$26))</f>
        <v>10</v>
      </c>
      <c r="AW123" s="212">
        <f>MIN(AW122+intermediates!$B$16,intermediates!$B$17*data!$AW$74)</f>
        <v>1897.5897864678325</v>
      </c>
      <c r="AX123" s="212">
        <f>AV123*1000/conversions!$C$16/intermediates!$B$40</f>
        <v>8187.0584968062822</v>
      </c>
      <c r="AY123" s="212">
        <f>AX123*(1-intermediates!$B$39)*intermediates!$B$28/(conversions!$C$2)</f>
        <v>2143.0300372958864</v>
      </c>
      <c r="AZ123" s="213">
        <f>IF(A123&lt;intermediates!$B$29,0,MIN(intermediates!$B$25,intermediates!$B$25*(A123-intermediates!$B$29)/(intermediates!$B$31-intermediates!$B$29)))</f>
        <v>0</v>
      </c>
      <c r="BA123" s="212">
        <f>IF(A123&lt;intermediates!$B$29,data!$BA$74,IF(intermediates!$B$23&gt;data!$BA$74,MIN(intermediates!$B$23,data!$BA$74+(intermediates!$B$23-data!$BA$74)*((data!A123-intermediates!$B$29)/(intermediates!$B$31-intermediates!$B$29))),MAX(intermediates!$B$23,data!$BA$74+(intermediates!$B$23-data!$BA$74)*((data!A123-intermediates!$B$29)/(intermediates!$B$31-intermediates!$B$29)))))</f>
        <v>0.08</v>
      </c>
      <c r="BB123" s="212">
        <f t="shared" si="214"/>
        <v>2049.4682313764274</v>
      </c>
      <c r="BC123" s="212">
        <f t="shared" si="166"/>
        <v>2049.4682313764274</v>
      </c>
      <c r="BD123" s="212">
        <f t="shared" si="167"/>
        <v>0</v>
      </c>
      <c r="BE123" s="214">
        <f>MAX(0,MIN(1,(data!A123-intermediates!$B$29)/(intermediates!$B$31-intermediates!$B$29)))*((intermediates!$B$38*L123)-$BE$69*1000000000)/1000000000+$BE$69</f>
        <v>1381.5510836195224</v>
      </c>
      <c r="BF123" s="214">
        <f t="shared" si="99"/>
        <v>1381.5510836195224</v>
      </c>
      <c r="BG123" s="214">
        <f t="shared" si="168"/>
        <v>0</v>
      </c>
      <c r="BH123" s="214">
        <f>BD123*conversions!$C$2/conversions!$C$17+BG123*conversions!$C$6/conversions!$C$10</f>
        <v>0</v>
      </c>
      <c r="BI123" s="214">
        <f>BH123*intermediates!$B$41*conversions!$C$11/(conversions!$C$2*conversions!$C$6*intermediates!$B$42)</f>
        <v>0</v>
      </c>
      <c r="BJ123" s="214">
        <f>BH123*intermediates!$B$43/(conversions!$C$1*intermediates!$B$42)</f>
        <v>0</v>
      </c>
      <c r="BK123" s="214">
        <f t="shared" si="215"/>
        <v>0</v>
      </c>
      <c r="BL123" s="214">
        <f t="shared" si="216"/>
        <v>25618.352892205341</v>
      </c>
      <c r="BM123" s="214">
        <f t="shared" si="217"/>
        <v>19528.264837065195</v>
      </c>
      <c r="BN123" s="214">
        <f>IF(A123&lt;intermediates!$B$29,MIN(BO122+intermediates!$B$33*AN122),MIN(BO122*intermediates!$B$35,BO122+intermediates!$B$37*AN122))</f>
        <v>20070.360386984572</v>
      </c>
      <c r="BO123" s="212">
        <f>IF(A123&lt;intermediates!$B$29,MIN(BM123,BO122+intermediates!$B$33*AN122),MIN(BM123,BO122*intermediates!$B$35,BO122+intermediates!$B$37*AN122))</f>
        <v>19528.264837065195</v>
      </c>
      <c r="BP123" s="214">
        <f t="shared" si="218"/>
        <v>542.09554991937694</v>
      </c>
      <c r="BQ123" s="214">
        <f t="shared" si="219"/>
        <v>0</v>
      </c>
      <c r="BR123" s="212" t="str">
        <f t="shared" si="235"/>
        <v/>
      </c>
      <c r="BS123" s="212">
        <f>BP123*conversions!$C$1*intermediates!$B$42/intermediates!$B$43</f>
        <v>1209.8903140913899</v>
      </c>
      <c r="BT123" s="214">
        <f>MIN(BT122+BS123,intermediates!$B$27*1000)</f>
        <v>0</v>
      </c>
      <c r="BU123" s="219" t="str">
        <f>IF(AND(BT123=intermediates!$B$27*1000,BT122&lt;&gt;intermediates!$B$27*1000),A123,"")</f>
        <v/>
      </c>
      <c r="BV123" s="212">
        <f>BT123*intermediates!$B$43/(conversions!$C$1*intermediates!$B$42)</f>
        <v>0</v>
      </c>
      <c r="BW123" s="214">
        <f t="shared" si="220"/>
        <v>25618.352892205341</v>
      </c>
      <c r="BX123" s="214">
        <f t="shared" si="221"/>
        <v>19528.264837065195</v>
      </c>
      <c r="BY123" s="227">
        <f>IF(OR(BQ123&gt;0,BT123&lt;&gt;intermediates!$B$27*1000),MAX(0,(BX123-BX122)/AM122),0.000000000001)</f>
        <v>9.9999999999999998E-13</v>
      </c>
      <c r="BZ123" s="322">
        <f>BH123*intermediates!$B$49*1000000</f>
        <v>0</v>
      </c>
      <c r="CA123" s="322">
        <f>BI123*conversions!$C$1*1000000*intermediates!$B$50</f>
        <v>0</v>
      </c>
      <c r="CB123" s="322">
        <f>BT123*1000000*intermediates!$B$49</f>
        <v>0</v>
      </c>
      <c r="CC123" s="214">
        <f>BW123*conversions!$C$1*1000000/L123</f>
        <v>27042.140106697912</v>
      </c>
      <c r="CD123" s="173">
        <f t="shared" si="189"/>
        <v>2067</v>
      </c>
      <c r="CE123" s="173"/>
      <c r="CF123" s="173"/>
      <c r="CG123" s="173"/>
      <c r="CH123" s="173"/>
      <c r="CI123" s="173">
        <f t="shared" si="222"/>
        <v>0</v>
      </c>
      <c r="CJ123" s="173">
        <f t="shared" si="223"/>
        <v>1897.5897864678325</v>
      </c>
      <c r="CK123" s="173">
        <f t="shared" si="224"/>
        <v>2049.4682313764274</v>
      </c>
      <c r="CL123" s="173">
        <f t="shared" si="225"/>
        <v>2143.0300372958864</v>
      </c>
      <c r="CM123" s="173"/>
      <c r="CN123" s="173"/>
      <c r="CO123" s="329">
        <f t="shared" si="169"/>
        <v>19528.264837065195</v>
      </c>
      <c r="CP123" s="174">
        <f t="shared" si="226"/>
        <v>0</v>
      </c>
      <c r="CQ123" s="228">
        <f t="shared" si="227"/>
        <v>10</v>
      </c>
      <c r="CR123" s="228">
        <f t="shared" si="170"/>
        <v>315</v>
      </c>
      <c r="CS123" s="214">
        <f t="shared" ca="1" si="228"/>
        <v>-11.234383002690343</v>
      </c>
      <c r="CT123" s="190">
        <f t="shared" ca="1" si="229"/>
        <v>-1.0164646765410774</v>
      </c>
      <c r="CU123" s="190">
        <f t="shared" ca="1" si="236"/>
        <v>-11.234383002690343</v>
      </c>
      <c r="CV123" s="198">
        <f t="shared" si="174"/>
        <v>3203.9310777670239</v>
      </c>
      <c r="CW123" s="198">
        <f t="shared" ca="1" si="171"/>
        <v>3796.8898451957907</v>
      </c>
      <c r="CX123" s="198">
        <f t="shared" ca="1" si="230"/>
        <v>3479.07645951021</v>
      </c>
      <c r="CY123" s="198">
        <f t="shared" ca="1" si="173"/>
        <v>-317.81338568558016</v>
      </c>
      <c r="CZ123" s="199">
        <f ca="1">IF(CX123&lt;intermediates!$B$55,intermediates!$B$56+(CX123-intermediates!$B$55)*intermediates!$B$53,intermediates!$B$56+(data!CX123-intermediates!$B$55)*intermediates!$B$58)</f>
        <v>1.8610124830578028</v>
      </c>
      <c r="DG123" s="201">
        <f>IF(A123&gt;MAX(intermediates!B$31,intermediates!$B$32),DG122,DG122+intermediates!$B$60*DG$73)</f>
        <v>19284914592500</v>
      </c>
      <c r="DH123" s="201">
        <f>IF(A123&gt;MAX(intermediates!B$31,intermediates!$B$32),DH122,DH122+intermediates!$B$61*DH$73)</f>
        <v>28767864178750</v>
      </c>
      <c r="DI123" s="201">
        <f>IF(A123&gt;MAX(intermediates!B$31,intermediates!$B$32),DI122,DI122+intermediates!$B$62*DI$73)</f>
        <v>38744255870000</v>
      </c>
      <c r="DJ123" s="221"/>
      <c r="EE123" s="218"/>
      <c r="EF123" s="212">
        <f>$EF$69+intermediates!$B$90*(A123-2013)*intermediates!$B$92+intermediates!$B$91*intermediates!$B$92*(A123-2013)^2</f>
        <v>3100.5581485492185</v>
      </c>
      <c r="EH123" s="212">
        <f>IF(A123&lt;intermediates!$B$29,data!EH122,IF(A123&lt;intermediates!$B$31,data!$EH$69+(intermediates!$B$93-data!$EH$69)*(data!A123-intermediates!$B$29)/(intermediates!$B$31-intermediates!$B$29),intermediates!$B$93))</f>
        <v>2.522212345090466E-2</v>
      </c>
      <c r="EI123" s="212">
        <f t="shared" si="128"/>
        <v>2.522212345090466E-2</v>
      </c>
      <c r="EN123" s="218"/>
      <c r="EO123" s="212">
        <f t="shared" si="129"/>
        <v>3022.3554881598016</v>
      </c>
      <c r="EQ123" s="212">
        <f t="shared" si="130"/>
        <v>78.202660389416906</v>
      </c>
      <c r="ET123" s="214">
        <f>IF(A123&lt;intermediates!$B$29,ET122+intermediates!$B$63,ET122+intermediates!$B$63*intermediates!$B$67)</f>
        <v>1324.4333898721409</v>
      </c>
      <c r="EU123" s="215">
        <f t="shared" si="131"/>
        <v>1324.4333898721409</v>
      </c>
      <c r="EV123" s="216">
        <f>data!EU123*conversions!$C$13</f>
        <v>1.5403160324212999</v>
      </c>
      <c r="EX123" s="212">
        <f>intermediates!$B$64+intermediates!$B$64*(EXP(-(data!A123-intermediates!$B$66)/intermediates!$B$65)-1)</f>
        <v>7.9734561735282598E-3</v>
      </c>
      <c r="EY123" s="217">
        <f>IF(A123&lt;intermediates!$B$29,data!EX123,data!EY122+(data!EX123-data!EX122)*intermediates!$B$68)</f>
        <v>7.9734561735282598E-3</v>
      </c>
      <c r="EZ123" s="217">
        <f t="shared" si="132"/>
        <v>7.9734561735282598E-3</v>
      </c>
      <c r="FB123" s="212">
        <f>intermediates!$B$94+intermediates!$B$95+(intermediates!$B$95*(EXP(-(data!A123-intermediates!$B$97)/intermediates!$B$96)-1))</f>
        <v>1.5791266194974998</v>
      </c>
      <c r="FC123" s="217">
        <f>IF(A123&lt;intermediates!$B$29,data!FB123,data!FC122+(data!FB123-data!FB122)*intermediates!$B$68)</f>
        <v>1.5791266194974998</v>
      </c>
      <c r="FD123" s="212">
        <f t="shared" si="133"/>
        <v>1.5791266194974998</v>
      </c>
      <c r="FF123" s="184">
        <f>intermediates!$B$98+intermediates!$B$99*EXP(-(A123-intermediates!$B$101)/intermediates!$B$100)</f>
        <v>0.89514485847505909</v>
      </c>
      <c r="FG123" s="184">
        <f t="shared" si="101"/>
        <v>0.89514485847505909</v>
      </c>
      <c r="FI123" s="184">
        <f>intermediates!$B$102+intermediates!$B$103*EXP(-(A123-intermediates!$B$105)/intermediates!$B$104)</f>
        <v>1.5785708236584879E-2</v>
      </c>
      <c r="FJ123" s="184">
        <f t="shared" si="134"/>
        <v>1.5785708236584879E-2</v>
      </c>
      <c r="FL123" s="184">
        <f>intermediates!$B$106</f>
        <v>4.5616870531049965E-2</v>
      </c>
      <c r="FM123" s="184">
        <f t="shared" si="135"/>
        <v>4.5616870531049965E-2</v>
      </c>
      <c r="FN123" s="218">
        <f>IF(A123&lt;intermediates!$B$29,0,IF(A123&lt;intermediates!$B$31,(data!A123-intermediates!$B$29)/(intermediates!$B$31-intermediates!$B$29),1))</f>
        <v>1</v>
      </c>
      <c r="FO123" s="218">
        <f t="shared" si="232"/>
        <v>315479632992551.06</v>
      </c>
      <c r="FP123" s="218">
        <f t="shared" si="177"/>
        <v>352434167504455.5</v>
      </c>
      <c r="FQ123" s="218">
        <f t="shared" si="178"/>
        <v>2810118388650.6934</v>
      </c>
      <c r="FR123" s="218">
        <f t="shared" si="179"/>
        <v>556538175526726.38</v>
      </c>
      <c r="FS123" s="218">
        <f t="shared" si="180"/>
        <v>420208505601.36804</v>
      </c>
      <c r="FT123" s="218">
        <f>intermediates!$B$69*data!EU123/intermediates!$B$71</f>
        <v>3.3711250544979481</v>
      </c>
      <c r="FU123" s="218">
        <f>BC123*conversions!$C$1*1000000</f>
        <v>23910462699391.652</v>
      </c>
      <c r="FV123" s="218">
        <f t="shared" si="184"/>
        <v>7092724925018.4131</v>
      </c>
      <c r="FX123" s="221"/>
      <c r="FY123" s="221"/>
      <c r="FZ123" s="221"/>
      <c r="GA123" s="218">
        <f t="shared" si="190"/>
        <v>1381.5510836195224</v>
      </c>
      <c r="GB123" s="218">
        <f>GA123*1000000*10000*intermediates!$B$71/(intermediates!$B$72*data!EU123)</f>
        <v>5122737444047.7129</v>
      </c>
      <c r="GC123" s="218">
        <f t="shared" si="233"/>
        <v>9205878160810.1582</v>
      </c>
      <c r="GD123" s="218">
        <f t="shared" si="144"/>
        <v>21841549035477.648</v>
      </c>
      <c r="GE123" s="218">
        <f t="shared" si="182"/>
        <v>23270412363588.219</v>
      </c>
      <c r="GF123" s="218">
        <f t="shared" si="183"/>
        <v>367339940116.62115</v>
      </c>
      <c r="GG123" s="218">
        <f t="shared" si="136"/>
        <v>1061523387993.9481</v>
      </c>
      <c r="GH123" s="218">
        <f t="shared" si="191"/>
        <v>9444077858435.5762</v>
      </c>
      <c r="GI123" s="218">
        <f t="shared" si="145"/>
        <v>182008807975.94922</v>
      </c>
      <c r="GJ123" s="218">
        <f>ET123*intermediates!$B$73/intermediates!$B$71</f>
        <v>5.0566875817469228</v>
      </c>
      <c r="GK123" s="218">
        <f>CL123*conversions!$C$1*1000000/data!GJ123</f>
        <v>4944346807589</v>
      </c>
      <c r="GL123" s="218">
        <f>MIN(1,FN123)*(intermediates!$B$75-data!$GL$69)+data!$GL$69</f>
        <v>1</v>
      </c>
      <c r="GM123" s="218">
        <f>GL123*intermediates!$B$74*(FS123+GC123+GK123+GG123+GF123+GB123+FV123)</f>
        <v>4232213875676.5825</v>
      </c>
      <c r="GN123" s="218">
        <f>MIN(1,FN123)*intermediates!$B$76</f>
        <v>0.12</v>
      </c>
      <c r="GO123" s="218">
        <f t="shared" si="137"/>
        <v>3893636765622.4565</v>
      </c>
      <c r="GP123" s="218">
        <f>IF(A123&gt;intermediates!$B$29,MIN(1,(A123-intermediates!$B$29)/(intermediates!$B$31-intermediates!$B$29))*intermediates!$B$77,0)</f>
        <v>0.15</v>
      </c>
      <c r="GQ123" s="218">
        <f>IF(AND(A123&gt;intermediates!$B$29+intermediates!$B$30,data!GP123&lt;intermediates!$B$77),1,0)</f>
        <v>0</v>
      </c>
      <c r="GR123" s="218">
        <f t="shared" si="192"/>
        <v>7207916815687.5</v>
      </c>
      <c r="GS123" s="218">
        <f t="shared" si="193"/>
        <v>46358645016814.453</v>
      </c>
      <c r="GT123" s="218">
        <f t="shared" si="188"/>
        <v>86797034641250</v>
      </c>
      <c r="GU123" s="218">
        <f t="shared" si="194"/>
        <v>45952172685687.5</v>
      </c>
      <c r="GV123" s="218">
        <f t="shared" si="195"/>
        <v>32446973046853.805</v>
      </c>
      <c r="GW123" s="218">
        <f t="shared" si="196"/>
        <v>1694133754435.5469</v>
      </c>
      <c r="GX123" s="218">
        <f>MIN(intermediates!$B$88,FN123*intermediates!$B$87*GO123)</f>
        <v>1946818382811.2283</v>
      </c>
      <c r="GY123" s="218">
        <f t="shared" si="197"/>
        <v>1946818382811.2283</v>
      </c>
      <c r="GZ123" s="218">
        <f>MIN(intermediates!$B$88-GX123,intermediates!$B$87*data!GW123*FN123)</f>
        <v>847066877217.77344</v>
      </c>
      <c r="HA123" s="218">
        <f t="shared" si="138"/>
        <v>847066877217.77344</v>
      </c>
      <c r="HB123" s="218">
        <f t="shared" si="139"/>
        <v>2793885260029.002</v>
      </c>
      <c r="HC123" s="218">
        <f t="shared" si="198"/>
        <v>5604003648679.6953</v>
      </c>
      <c r="HD123" s="218">
        <f>HC123*intermediates!$B$79/(10000*1000000000)</f>
        <v>371.96128380181193</v>
      </c>
      <c r="HE123" s="218">
        <f>(GV123*intermediates!$B$80+GV123*GL123*intermediates!$B$82)/(10000*1000000000)</f>
        <v>1209.7251815971251</v>
      </c>
      <c r="HF123" s="218">
        <f>GU123*intermediates!$B$78/(10000*1000000000)</f>
        <v>4627.3540321972614</v>
      </c>
      <c r="HG123" s="218">
        <f>HB123*intermediates!$B$81/(10000*1000000000)</f>
        <v>702.28080327503824</v>
      </c>
      <c r="HH123" s="218">
        <f t="shared" si="199"/>
        <v>0</v>
      </c>
      <c r="HI123" s="218">
        <f t="shared" si="200"/>
        <v>12.359206964145301</v>
      </c>
      <c r="HJ123" s="218">
        <f t="shared" si="201"/>
        <v>-4.1991797281908134</v>
      </c>
      <c r="HK123" s="218">
        <f ca="1">SUM(HJ123:INDIRECT(ADDRESS(MAX(CELL("row",HJ123)-intermediates!$B$83,69),CELL("col",HJ123))))/intermediates!$B$83+SUM(HH123:INDIRECT(ADDRESS(MAX(CELL("row",HH123)-intermediates!$B$84,69),CELL("col",HH123))))/intermediates!$B$84+SUM(HI123:INDIRECT(ADDRESS(MAX(CELL("row",HI123)-intermediates!$B$85,69),CELL("col",HI123))))/intermediates!$B$85</f>
        <v>1.2343830026903424</v>
      </c>
      <c r="HL123" s="218">
        <f t="shared" ca="1" si="163"/>
        <v>-590.14538174318432</v>
      </c>
      <c r="HM123" s="188">
        <f t="shared" si="202"/>
        <v>2067</v>
      </c>
      <c r="HQ123" s="185">
        <f t="shared" si="203"/>
        <v>983.76213839123398</v>
      </c>
      <c r="HR123" s="185">
        <f t="shared" si="204"/>
        <v>641.73567386630748</v>
      </c>
      <c r="HS123" s="185">
        <f t="shared" si="205"/>
        <v>463.49511653838601</v>
      </c>
      <c r="HT123" s="185">
        <f t="shared" si="206"/>
        <v>447.35468581401608</v>
      </c>
      <c r="HU123" s="185">
        <f t="shared" si="207"/>
        <v>382.92231154679916</v>
      </c>
      <c r="HV123" s="185">
        <f t="shared" si="208"/>
        <v>352.2885266230553</v>
      </c>
      <c r="HW123" s="185">
        <f t="shared" si="209"/>
        <v>652.15800750590915</v>
      </c>
      <c r="HX123" s="185">
        <f t="shared" si="210"/>
        <v>16.467795702051127</v>
      </c>
      <c r="HY123" s="185">
        <f t="shared" si="211"/>
        <v>254.25393439745915</v>
      </c>
      <c r="HZ123" s="185">
        <f t="shared" si="140"/>
        <v>3923.7164602857074</v>
      </c>
      <c r="IA123" s="185">
        <f t="shared" si="141"/>
        <v>4194.4381903852181</v>
      </c>
      <c r="IB123" s="185">
        <f t="shared" si="212"/>
        <v>2583.7162273939266</v>
      </c>
      <c r="IC123" s="185">
        <f t="shared" si="231"/>
        <v>4347.7200500393947</v>
      </c>
      <c r="ID123" s="185">
        <f t="shared" si="213"/>
        <v>3505.5033731085437</v>
      </c>
      <c r="IE123" s="184">
        <f t="shared" si="142"/>
        <v>-0.12095369612430223</v>
      </c>
      <c r="IF123" s="184">
        <f t="shared" si="143"/>
        <v>-4.3726062519304366E-2</v>
      </c>
    </row>
    <row r="124" spans="1:240" x14ac:dyDescent="0.3">
      <c r="A124" s="211">
        <v>2068</v>
      </c>
      <c r="E124" s="207">
        <v>8729031.5199999996</v>
      </c>
      <c r="F124" s="207">
        <v>10405590.532</v>
      </c>
      <c r="G124" s="207">
        <v>12302302.934</v>
      </c>
      <c r="I124" s="207">
        <f t="shared" si="164"/>
        <v>8729031520</v>
      </c>
      <c r="J124" s="207">
        <f t="shared" si="164"/>
        <v>10405590532</v>
      </c>
      <c r="K124" s="207">
        <f t="shared" si="164"/>
        <v>12302302934</v>
      </c>
      <c r="L124" s="187">
        <f>IF(intermediates!$B$4&gt;=2,(intermediates!$B$4-2)*K124+(1-(intermediates!$B$4-2))*J124,(intermediates!$B$4-1)*J124+(1-(intermediates!$B$4-1))*I124)</f>
        <v>11105969524.191797</v>
      </c>
      <c r="AJ124" s="184">
        <f>IF(intermediates!$B$46=0,$AJ$74+(intermediates!$B$15-$AJ$74)*MIN(1,(data!A124-data!$A$74)/(intermediates!$B$32-data!$A$74)),IF(A124&lt;2021,$AJ$74+(intermediates!$B$15-$AJ$74)*MIN(1,(data!A124-data!$A$74)/(intermediates!$B$32-data!$A$74)),intermediates!$B$47+(intermediates!$B$15-intermediates!$B$47)*MIN(1,(data!A124-$A$77)/(intermediates!$B$32-$A$77))))</f>
        <v>27161.426737798611</v>
      </c>
      <c r="AK124" s="192">
        <f t="shared" si="146"/>
        <v>27161.426737798611</v>
      </c>
      <c r="AL124" s="192">
        <f t="shared" si="234"/>
        <v>301653977583559.63</v>
      </c>
      <c r="AM124" s="192">
        <f>data!AL124/(1000000*conversions!$C$1)</f>
        <v>25856.055221447969</v>
      </c>
      <c r="AN124" s="192">
        <f>IF(intermediates!$B$13=1,($AJ$74+(27400-$AJ$74)*MIN(1,(data!A124-data!$A$74)/(intermediates!$B$32-data!$A$74)))*L124/(1000000*conversions!$C$1),data!AM124)</f>
        <v>25856.055221447969</v>
      </c>
      <c r="AV124" s="214">
        <f>IF(A124&lt;intermediates!$B$29,0,IF(A124&lt;intermediates!$B$31,(data!A124-intermediates!$B$29)*intermediates!$B$26/(intermediates!$B$31-intermediates!$B$29),intermediates!$B$26))</f>
        <v>10</v>
      </c>
      <c r="AW124" s="212">
        <f>MIN(AW123+intermediates!$B$16,intermediates!$B$17*data!$AW$74)</f>
        <v>1897.5897864678325</v>
      </c>
      <c r="AX124" s="212">
        <f>AV124*1000/conversions!$C$16/intermediates!$B$40</f>
        <v>8187.0584968062822</v>
      </c>
      <c r="AY124" s="212">
        <f>AX124*(1-intermediates!$B$39)*intermediates!$B$28/(conversions!$C$2)</f>
        <v>2143.0300372958864</v>
      </c>
      <c r="AZ124" s="213">
        <f>IF(A124&lt;intermediates!$B$29,0,MIN(intermediates!$B$25,intermediates!$B$25*(A124-intermediates!$B$29)/(intermediates!$B$31-intermediates!$B$29)))</f>
        <v>0</v>
      </c>
      <c r="BA124" s="212">
        <f>IF(A124&lt;intermediates!$B$29,data!$BA$74,IF(intermediates!$B$23&gt;data!$BA$74,MIN(intermediates!$B$23,data!$BA$74+(intermediates!$B$23-data!$BA$74)*((data!A124-intermediates!$B$29)/(intermediates!$B$31-intermediates!$B$29))),MAX(intermediates!$B$23,data!$BA$74+(intermediates!$B$23-data!$BA$74)*((data!A124-intermediates!$B$29)/(intermediates!$B$31-intermediates!$B$29)))))</f>
        <v>0.08</v>
      </c>
      <c r="BB124" s="212">
        <f t="shared" si="214"/>
        <v>2068.4844177158375</v>
      </c>
      <c r="BC124" s="212">
        <f t="shared" si="166"/>
        <v>2068.4844177158375</v>
      </c>
      <c r="BD124" s="212">
        <f t="shared" si="167"/>
        <v>0</v>
      </c>
      <c r="BE124" s="214">
        <f>MAX(0,MIN(1,(data!A124-intermediates!$B$29)/(intermediates!$B$31-intermediates!$B$29)))*((intermediates!$B$38*L124)-$BE$69*1000000000)/1000000000+$BE$69</f>
        <v>1388.2461905239745</v>
      </c>
      <c r="BF124" s="214">
        <f t="shared" si="99"/>
        <v>1388.2461905239745</v>
      </c>
      <c r="BG124" s="214">
        <f t="shared" si="168"/>
        <v>0</v>
      </c>
      <c r="BH124" s="214">
        <f>BD124*conversions!$C$2/conversions!$C$17+BG124*conversions!$C$6/conversions!$C$10</f>
        <v>0</v>
      </c>
      <c r="BI124" s="214">
        <f>BH124*intermediates!$B$41*conversions!$C$11/(conversions!$C$2*conversions!$C$6*intermediates!$B$42)</f>
        <v>0</v>
      </c>
      <c r="BJ124" s="214">
        <f>BH124*intermediates!$B$43/(conversions!$C$1*intermediates!$B$42)</f>
        <v>0</v>
      </c>
      <c r="BK124" s="214">
        <f t="shared" si="215"/>
        <v>0</v>
      </c>
      <c r="BL124" s="214">
        <f t="shared" si="216"/>
        <v>25856.055221447969</v>
      </c>
      <c r="BM124" s="214">
        <f t="shared" si="217"/>
        <v>19746.950979968413</v>
      </c>
      <c r="BN124" s="214">
        <f>IF(A124&lt;intermediates!$B$29,MIN(BO123+intermediates!$B$33*AN123),MIN(BO123*intermediates!$B$35,BO123+intermediates!$B$37*AN123))</f>
        <v>20296.465154500289</v>
      </c>
      <c r="BO124" s="212">
        <f>IF(A124&lt;intermediates!$B$29,MIN(BM124,BO123+intermediates!$B$33*AN123),MIN(BM124,BO123*intermediates!$B$35,BO123+intermediates!$B$37*AN123))</f>
        <v>19746.950979968413</v>
      </c>
      <c r="BP124" s="214">
        <f t="shared" si="218"/>
        <v>549.51417453187605</v>
      </c>
      <c r="BQ124" s="214">
        <f t="shared" si="219"/>
        <v>0</v>
      </c>
      <c r="BR124" s="212" t="str">
        <f t="shared" si="235"/>
        <v/>
      </c>
      <c r="BS124" s="212">
        <f>BP124*conversions!$C$1*intermediates!$B$42/intermediates!$B$43</f>
        <v>1226.4477679643787</v>
      </c>
      <c r="BT124" s="214">
        <f>MIN(BT123+BS124,intermediates!$B$27*1000)</f>
        <v>0</v>
      </c>
      <c r="BU124" s="219" t="str">
        <f>IF(AND(BT124=intermediates!$B$27*1000,BT123&lt;&gt;intermediates!$B$27*1000),A124,"")</f>
        <v/>
      </c>
      <c r="BV124" s="212">
        <f>BT124*intermediates!$B$43/(conversions!$C$1*intermediates!$B$42)</f>
        <v>0</v>
      </c>
      <c r="BW124" s="214">
        <f t="shared" si="220"/>
        <v>25856.055221447969</v>
      </c>
      <c r="BX124" s="214">
        <f t="shared" si="221"/>
        <v>19746.950979968413</v>
      </c>
      <c r="BY124" s="227">
        <f>IF(OR(BQ124&gt;0,BT124&lt;&gt;intermediates!$B$27*1000),MAX(0,(BX124-BX123)/AM123),0.000000000001)</f>
        <v>9.9999999999999998E-13</v>
      </c>
      <c r="BZ124" s="322">
        <f>BH124*intermediates!$B$49*1000000</f>
        <v>0</v>
      </c>
      <c r="CA124" s="322">
        <f>BI124*conversions!$C$1*1000000*intermediates!$B$50</f>
        <v>0</v>
      </c>
      <c r="CB124" s="322">
        <f>BT124*1000000*intermediates!$B$49</f>
        <v>0</v>
      </c>
      <c r="CC124" s="214">
        <f>BW124*conversions!$C$1*1000000/L124</f>
        <v>27161.426737798614</v>
      </c>
      <c r="CD124" s="173">
        <f t="shared" si="189"/>
        <v>2068</v>
      </c>
      <c r="CE124" s="173"/>
      <c r="CF124" s="173"/>
      <c r="CG124" s="173"/>
      <c r="CH124" s="173"/>
      <c r="CI124" s="173">
        <f t="shared" si="222"/>
        <v>0</v>
      </c>
      <c r="CJ124" s="173">
        <f t="shared" si="223"/>
        <v>1897.5897864678325</v>
      </c>
      <c r="CK124" s="173">
        <f t="shared" si="224"/>
        <v>2068.4844177158375</v>
      </c>
      <c r="CL124" s="173">
        <f t="shared" si="225"/>
        <v>2143.0300372958864</v>
      </c>
      <c r="CM124" s="173"/>
      <c r="CN124" s="173"/>
      <c r="CO124" s="329">
        <f t="shared" si="169"/>
        <v>19746.950979968413</v>
      </c>
      <c r="CP124" s="174">
        <f t="shared" si="226"/>
        <v>0</v>
      </c>
      <c r="CQ124" s="228">
        <f t="shared" si="227"/>
        <v>10</v>
      </c>
      <c r="CR124" s="228">
        <f t="shared" si="170"/>
        <v>325</v>
      </c>
      <c r="CS124" s="214">
        <f t="shared" ca="1" si="228"/>
        <v>-12.603610666114509</v>
      </c>
      <c r="CT124" s="190">
        <f t="shared" ca="1" si="229"/>
        <v>-1.1348501036906724</v>
      </c>
      <c r="CU124" s="190">
        <f t="shared" ca="1" si="236"/>
        <v>-12.603610666114509</v>
      </c>
      <c r="CV124" s="198">
        <f t="shared" si="174"/>
        <v>3203.9310777670239</v>
      </c>
      <c r="CW124" s="198">
        <f t="shared" ca="1" si="171"/>
        <v>3796.8898451957907</v>
      </c>
      <c r="CX124" s="198">
        <f t="shared" ca="1" si="230"/>
        <v>3466.4728488440956</v>
      </c>
      <c r="CY124" s="198">
        <f t="shared" ca="1" si="173"/>
        <v>-330.41699635169465</v>
      </c>
      <c r="CZ124" s="199">
        <f ca="1">IF(CX124&lt;intermediates!$B$55,intermediates!$B$56+(CX124-intermediates!$B$55)*intermediates!$B$53,intermediates!$B$56+(data!CX124-intermediates!$B$55)*intermediates!$B$58)</f>
        <v>1.8541586433875592</v>
      </c>
      <c r="DG124" s="201">
        <f>IF(A124&gt;MAX(intermediates!B$31,intermediates!$B$32),DG123,DG123+intermediates!$B$60*DG$73)</f>
        <v>19358345533750</v>
      </c>
      <c r="DH124" s="201">
        <f>IF(A124&gt;MAX(intermediates!B$31,intermediates!$B$32),DH123,DH123+intermediates!$B$61*DH$73)</f>
        <v>28689936895625</v>
      </c>
      <c r="DI124" s="201">
        <f>IF(A124&gt;MAX(intermediates!B$31,intermediates!$B$32),DI123,DI123+intermediates!$B$62*DI$73)</f>
        <v>38719314263000</v>
      </c>
      <c r="DJ124" s="221"/>
      <c r="EE124" s="218"/>
      <c r="EF124" s="212">
        <f>$EF$69+intermediates!$B$90*(A124-2013)*intermediates!$B$92+intermediates!$B$91*intermediates!$B$92*(A124-2013)^2</f>
        <v>3104.0930385492188</v>
      </c>
      <c r="EH124" s="212">
        <f>IF(A124&lt;intermediates!$B$29,data!EH123,IF(A124&lt;intermediates!$B$31,data!$EH$69+(intermediates!$B$93-data!$EH$69)*(data!A124-intermediates!$B$29)/(intermediates!$B$31-intermediates!$B$29),intermediates!$B$93))</f>
        <v>2.522212345090466E-2</v>
      </c>
      <c r="EI124" s="212">
        <f t="shared" si="128"/>
        <v>2.522212345090466E-2</v>
      </c>
      <c r="EN124" s="218"/>
      <c r="EO124" s="212">
        <f t="shared" si="129"/>
        <v>3025.8012207278366</v>
      </c>
      <c r="EQ124" s="212">
        <f t="shared" si="130"/>
        <v>78.29181782138221</v>
      </c>
      <c r="ET124" s="214">
        <f>IF(A124&lt;intermediates!$B$29,ET123+intermediates!$B$63,ET123+intermediates!$B$63*intermediates!$B$67)</f>
        <v>1334.4089792635837</v>
      </c>
      <c r="EU124" s="215">
        <f t="shared" si="131"/>
        <v>1334.4089792635837</v>
      </c>
      <c r="EV124" s="216">
        <f>data!EU124*conversions!$C$13</f>
        <v>1.5519176428835477</v>
      </c>
      <c r="EX124" s="212">
        <f>intermediates!$B$64+intermediates!$B$64*(EXP(-(data!A124-intermediates!$B$66)/intermediates!$B$65)-1)</f>
        <v>7.8252257441842332E-3</v>
      </c>
      <c r="EY124" s="217">
        <f>IF(A124&lt;intermediates!$B$29,data!EX124,data!EY123+(data!EX124-data!EX123)*intermediates!$B$68)</f>
        <v>7.8252257441842332E-3</v>
      </c>
      <c r="EZ124" s="217">
        <f t="shared" si="132"/>
        <v>7.8252257441842332E-3</v>
      </c>
      <c r="FB124" s="212">
        <f>intermediates!$B$94+intermediates!$B$95+(intermediates!$B$95*(EXP(-(data!A124-intermediates!$B$97)/intermediates!$B$96)-1))</f>
        <v>1.5769688003041393</v>
      </c>
      <c r="FC124" s="217">
        <f>IF(A124&lt;intermediates!$B$29,data!FB124,data!FC123+(data!FB124-data!FB123)*intermediates!$B$68)</f>
        <v>1.5769688003041393</v>
      </c>
      <c r="FD124" s="212">
        <f t="shared" si="133"/>
        <v>1.5769688003041393</v>
      </c>
      <c r="FF124" s="184">
        <f>intermediates!$B$98+intermediates!$B$99*EXP(-(A124-intermediates!$B$101)/intermediates!$B$100)</f>
        <v>0.89546990011924199</v>
      </c>
      <c r="FG124" s="184">
        <f t="shared" si="101"/>
        <v>0.89546990011924199</v>
      </c>
      <c r="FI124" s="184">
        <f>intermediates!$B$102+intermediates!$B$103*EXP(-(A124-intermediates!$B$105)/intermediates!$B$104)</f>
        <v>1.5702203922646877E-2</v>
      </c>
      <c r="FJ124" s="184">
        <f t="shared" si="134"/>
        <v>1.5702203922646877E-2</v>
      </c>
      <c r="FL124" s="184">
        <f>intermediates!$B$106</f>
        <v>4.5616870531049965E-2</v>
      </c>
      <c r="FM124" s="184">
        <f t="shared" si="135"/>
        <v>4.5616870531049965E-2</v>
      </c>
      <c r="FN124" s="218">
        <f>IF(A124&lt;intermediates!$B$29,0,IF(A124&lt;intermediates!$B$31,(data!A124-intermediates!$B$29)/(intermediates!$B$31-intermediates!$B$29),1))</f>
        <v>1</v>
      </c>
      <c r="FO124" s="218">
        <f t="shared" si="232"/>
        <v>317369888092014.19</v>
      </c>
      <c r="FP124" s="218">
        <f t="shared" si="177"/>
        <v>354417147968628.31</v>
      </c>
      <c r="FQ124" s="218">
        <f t="shared" si="178"/>
        <v>2773394190464.4629</v>
      </c>
      <c r="FR124" s="218">
        <f t="shared" si="179"/>
        <v>558904784639302.44</v>
      </c>
      <c r="FS124" s="218">
        <f t="shared" si="180"/>
        <v>418840695262.51508</v>
      </c>
      <c r="FT124" s="218">
        <f>intermediates!$B$69*data!EU124/intermediates!$B$71</f>
        <v>3.3965162592108733</v>
      </c>
      <c r="FU124" s="218">
        <f>BC124*conversions!$C$1*1000000</f>
        <v>24132318206684.77</v>
      </c>
      <c r="FV124" s="218">
        <f t="shared" si="184"/>
        <v>7105020663817.3232</v>
      </c>
      <c r="FX124" s="221"/>
      <c r="FY124" s="221"/>
      <c r="FZ124" s="221"/>
      <c r="GA124" s="218">
        <f t="shared" si="190"/>
        <v>1388.2461905239745</v>
      </c>
      <c r="GB124" s="218">
        <f>GA124*1000000*10000*intermediates!$B$71/(intermediates!$B$72*data!EU124)</f>
        <v>5109081204746.3584</v>
      </c>
      <c r="GC124" s="218">
        <f t="shared" si="233"/>
        <v>9191804523982.5742</v>
      </c>
      <c r="GD124" s="218">
        <f t="shared" si="144"/>
        <v>21824747087808.773</v>
      </c>
      <c r="GE124" s="218">
        <f t="shared" si="182"/>
        <v>23250442715779.043</v>
      </c>
      <c r="GF124" s="218">
        <f t="shared" si="183"/>
        <v>365083192814.98218</v>
      </c>
      <c r="GG124" s="218">
        <f t="shared" si="136"/>
        <v>1060612435155.2864</v>
      </c>
      <c r="GH124" s="218">
        <f t="shared" si="191"/>
        <v>9429640069923.7891</v>
      </c>
      <c r="GI124" s="218">
        <f t="shared" si="145"/>
        <v>181005149321.30078</v>
      </c>
      <c r="GJ124" s="218">
        <f>ET124*intermediates!$B$73/intermediates!$B$71</f>
        <v>5.09477438881631</v>
      </c>
      <c r="GK124" s="218">
        <f>CL124*conversions!$C$1*1000000/data!GJ124</f>
        <v>4907384546147.5205</v>
      </c>
      <c r="GL124" s="218">
        <f>MIN(1,FN124)*(intermediates!$B$75-data!$GL$69)+data!$GL$69</f>
        <v>1</v>
      </c>
      <c r="GM124" s="218">
        <f>GL124*intermediates!$B$74*(FS124+GC124+GK124+GG124+GF124+GB124+FV124)</f>
        <v>4223674089288.9844</v>
      </c>
      <c r="GN124" s="218">
        <f>MIN(1,FN124)*intermediates!$B$76</f>
        <v>0.12</v>
      </c>
      <c r="GO124" s="218">
        <f t="shared" si="137"/>
        <v>3885780162145.8657</v>
      </c>
      <c r="GP124" s="218">
        <f>IF(A124&gt;intermediates!$B$29,MIN(1,(A124-intermediates!$B$29)/(intermediates!$B$31-intermediates!$B$29))*intermediates!$B$77,0)</f>
        <v>0.15</v>
      </c>
      <c r="GQ124" s="218">
        <f>IF(AND(A124&gt;intermediates!$B$29+intermediates!$B$30,data!GP124&lt;intermediates!$B$77),1,0)</f>
        <v>0</v>
      </c>
      <c r="GR124" s="218">
        <f t="shared" si="192"/>
        <v>7207242364406.25</v>
      </c>
      <c r="GS124" s="218">
        <f t="shared" si="193"/>
        <v>46247918068232.117</v>
      </c>
      <c r="GT124" s="218">
        <f t="shared" si="188"/>
        <v>86767596692375</v>
      </c>
      <c r="GU124" s="218">
        <f t="shared" si="194"/>
        <v>45926556627406.25</v>
      </c>
      <c r="GV124" s="218">
        <f t="shared" si="195"/>
        <v>32381501351215.539</v>
      </c>
      <c r="GW124" s="218">
        <f t="shared" si="196"/>
        <v>1800364361142.8828</v>
      </c>
      <c r="GX124" s="218">
        <f>MIN(intermediates!$B$88,FN124*intermediates!$B$87*GO124)</f>
        <v>1942890081072.9329</v>
      </c>
      <c r="GY124" s="218">
        <f t="shared" si="197"/>
        <v>1942890081072.9329</v>
      </c>
      <c r="GZ124" s="218">
        <f>MIN(intermediates!$B$88-GX124,intermediates!$B$87*data!GW124*FN124)</f>
        <v>900182180571.44141</v>
      </c>
      <c r="HA124" s="218">
        <f t="shared" si="138"/>
        <v>900182180571.44141</v>
      </c>
      <c r="HB124" s="218">
        <f t="shared" si="139"/>
        <v>2843072261644.374</v>
      </c>
      <c r="HC124" s="218">
        <f t="shared" si="198"/>
        <v>5616466452108.8369</v>
      </c>
      <c r="HD124" s="218">
        <f>HC124*intermediates!$B$79/(10000*1000000000)</f>
        <v>372.78849246438398</v>
      </c>
      <c r="HE124" s="218">
        <f>(GV124*intermediates!$B$80+GV124*GL124*intermediates!$B$82)/(10000*1000000000)</f>
        <v>1207.2841909142317</v>
      </c>
      <c r="HF124" s="218">
        <f>GU124*intermediates!$B$78/(10000*1000000000)</f>
        <v>4624.7745117165332</v>
      </c>
      <c r="HG124" s="218">
        <f>HB124*intermediates!$B$81/(10000*1000000000)</f>
        <v>714.64462060831534</v>
      </c>
      <c r="HH124" s="218">
        <f t="shared" si="199"/>
        <v>0</v>
      </c>
      <c r="HI124" s="218">
        <f t="shared" si="200"/>
        <v>12.363817333277098</v>
      </c>
      <c r="HJ124" s="218">
        <f t="shared" si="201"/>
        <v>-4.1933025010496294</v>
      </c>
      <c r="HK124" s="218">
        <f ca="1">SUM(HJ124:INDIRECT(ADDRESS(MAX(CELL("row",HJ124)-intermediates!$B$83,69),CELL("col",HJ124))))/intermediates!$B$83+SUM(HH124:INDIRECT(ADDRESS(MAX(CELL("row",HH124)-intermediates!$B$84,69),CELL("col",HH124))))/intermediates!$B$84+SUM(HI124:INDIRECT(ADDRESS(MAX(CELL("row",HI124)-intermediates!$B$85,69),CELL("col",HI124))))/intermediates!$B$85</f>
        <v>2.60361066611451</v>
      </c>
      <c r="HL124" s="218">
        <f t="shared" ca="1" si="163"/>
        <v>-587.54177107706982</v>
      </c>
      <c r="HM124" s="188">
        <f t="shared" si="202"/>
        <v>2068</v>
      </c>
      <c r="HQ124" s="185">
        <f t="shared" si="203"/>
        <v>977.43251269042378</v>
      </c>
      <c r="HR124" s="185">
        <f t="shared" si="204"/>
        <v>639.74789849194815</v>
      </c>
      <c r="HS124" s="185">
        <f t="shared" si="205"/>
        <v>460.03018409310431</v>
      </c>
      <c r="HT124" s="185">
        <f t="shared" si="206"/>
        <v>441.86908089905285</v>
      </c>
      <c r="HU124" s="185">
        <f t="shared" si="207"/>
        <v>380.30665220975828</v>
      </c>
      <c r="HV124" s="185">
        <f t="shared" si="208"/>
        <v>349.88212003297764</v>
      </c>
      <c r="HW124" s="185">
        <f t="shared" si="209"/>
        <v>648.95211072810275</v>
      </c>
      <c r="HX124" s="185">
        <f t="shared" si="210"/>
        <v>16.298005223859363</v>
      </c>
      <c r="HY124" s="185">
        <f t="shared" si="211"/>
        <v>249.72103375785989</v>
      </c>
      <c r="HZ124" s="185">
        <f t="shared" si="140"/>
        <v>3898.2205591453676</v>
      </c>
      <c r="IA124" s="185">
        <f t="shared" si="141"/>
        <v>4164.2395981270865</v>
      </c>
      <c r="IB124" s="185">
        <f t="shared" si="212"/>
        <v>2593.5542131205639</v>
      </c>
      <c r="IC124" s="185">
        <f t="shared" si="231"/>
        <v>4326.3474048540184</v>
      </c>
      <c r="ID124" s="185">
        <f t="shared" si="213"/>
        <v>3486.3515678355579</v>
      </c>
      <c r="IE124" s="184">
        <f t="shared" si="142"/>
        <v>-0.12280082412183291</v>
      </c>
      <c r="IF124" s="184">
        <f t="shared" si="143"/>
        <v>-4.6497836942925891E-2</v>
      </c>
    </row>
    <row r="125" spans="1:240" x14ac:dyDescent="0.3">
      <c r="A125" s="184">
        <v>2069</v>
      </c>
      <c r="E125" s="207">
        <v>8703086.3119999897</v>
      </c>
      <c r="F125" s="207">
        <v>10432889.136</v>
      </c>
      <c r="G125" s="207">
        <v>12399115.604</v>
      </c>
      <c r="I125" s="207">
        <f t="shared" si="164"/>
        <v>8703086311.9999905</v>
      </c>
      <c r="J125" s="207">
        <f t="shared" si="164"/>
        <v>10432889136</v>
      </c>
      <c r="K125" s="207">
        <f t="shared" si="164"/>
        <v>12399115604</v>
      </c>
      <c r="L125" s="187">
        <f>IF(intermediates!$B$4&gt;=2,(intermediates!$B$4-2)*K125+(1-(intermediates!$B$4-2))*J125,(intermediates!$B$4-1)*J125+(1-(intermediates!$B$4-1))*I125)</f>
        <v>11158936854.476761</v>
      </c>
      <c r="AJ125" s="184">
        <f>IF(intermediates!$B$46=0,$AJ$74+(intermediates!$B$15-$AJ$74)*MIN(1,(data!A125-data!$A$74)/(intermediates!$B$32-data!$A$74)),IF(A125&lt;2021,$AJ$74+(intermediates!$B$15-$AJ$74)*MIN(1,(data!A125-data!$A$74)/(intermediates!$B$32-data!$A$74)),intermediates!$B$47+(intermediates!$B$15-intermediates!$B$47)*MIN(1,(data!A125-$A$77)/(intermediates!$B$32-$A$77))))</f>
        <v>27280.713368899305</v>
      </c>
      <c r="AK125" s="192">
        <f t="shared" si="146"/>
        <v>27280.713368899305</v>
      </c>
      <c r="AL125" s="192">
        <f t="shared" si="234"/>
        <v>304423757828627.31</v>
      </c>
      <c r="AM125" s="192">
        <f>data!AL125/(1000000*conversions!$C$1)</f>
        <v>26093.464956739484</v>
      </c>
      <c r="AN125" s="192">
        <f>IF(intermediates!$B$13=1,($AJ$74+(27400-$AJ$74)*MIN(1,(data!A125-data!$A$74)/(intermediates!$B$32-data!$A$74)))*L125/(1000000*conversions!$C$1),data!AM125)</f>
        <v>26093.464956739484</v>
      </c>
      <c r="AV125" s="214">
        <f>IF(A125&lt;intermediates!$B$29,0,IF(A125&lt;intermediates!$B$31,(data!A125-intermediates!$B$29)*intermediates!$B$26/(intermediates!$B$31-intermediates!$B$29),intermediates!$B$26))</f>
        <v>10</v>
      </c>
      <c r="AW125" s="212">
        <f>MIN(AW124+intermediates!$B$16,intermediates!$B$17*data!$AW$74)</f>
        <v>1897.5897864678325</v>
      </c>
      <c r="AX125" s="212">
        <f>AV125*1000/conversions!$C$16/intermediates!$B$40</f>
        <v>8187.0584968062822</v>
      </c>
      <c r="AY125" s="212">
        <f>AX125*(1-intermediates!$B$39)*intermediates!$B$28/(conversions!$C$2)</f>
        <v>2143.0300372958864</v>
      </c>
      <c r="AZ125" s="213">
        <f>IF(A125&lt;intermediates!$B$29,0,MIN(intermediates!$B$25,intermediates!$B$25*(A125-intermediates!$B$29)/(intermediates!$B$31-intermediates!$B$29)))</f>
        <v>0</v>
      </c>
      <c r="BA125" s="212">
        <f>IF(A125&lt;intermediates!$B$29,data!$BA$74,IF(intermediates!$B$23&gt;data!$BA$74,MIN(intermediates!$B$23,data!$BA$74+(intermediates!$B$23-data!$BA$74)*((data!A125-intermediates!$B$29)/(intermediates!$B$31-intermediates!$B$29))),MAX(intermediates!$B$23,data!$BA$74+(intermediates!$B$23-data!$BA$74)*((data!A125-intermediates!$B$29)/(intermediates!$B$31-intermediates!$B$29)))))</f>
        <v>0.08</v>
      </c>
      <c r="BB125" s="212">
        <f t="shared" si="214"/>
        <v>2087.4771965391587</v>
      </c>
      <c r="BC125" s="212">
        <f t="shared" si="166"/>
        <v>2087.4771965391587</v>
      </c>
      <c r="BD125" s="212">
        <f t="shared" si="167"/>
        <v>0</v>
      </c>
      <c r="BE125" s="214">
        <f>MAX(0,MIN(1,(data!A125-intermediates!$B$29)/(intermediates!$B$31-intermediates!$B$29)))*((intermediates!$B$38*L125)-$BE$69*1000000000)/1000000000+$BE$69</f>
        <v>1394.867106809595</v>
      </c>
      <c r="BF125" s="214">
        <f t="shared" si="99"/>
        <v>1394.867106809595</v>
      </c>
      <c r="BG125" s="214">
        <f t="shared" si="168"/>
        <v>0</v>
      </c>
      <c r="BH125" s="214">
        <f>BD125*conversions!$C$2/conversions!$C$17+BG125*conversions!$C$6/conversions!$C$10</f>
        <v>0</v>
      </c>
      <c r="BI125" s="214">
        <f>BH125*intermediates!$B$41*conversions!$C$11/(conversions!$C$2*conversions!$C$6*intermediates!$B$42)</f>
        <v>0</v>
      </c>
      <c r="BJ125" s="214">
        <f>BH125*intermediates!$B$43/(conversions!$C$1*intermediates!$B$42)</f>
        <v>0</v>
      </c>
      <c r="BK125" s="214">
        <f t="shared" si="215"/>
        <v>0</v>
      </c>
      <c r="BL125" s="214">
        <f t="shared" si="216"/>
        <v>26093.464956739484</v>
      </c>
      <c r="BM125" s="214">
        <f t="shared" si="217"/>
        <v>19965.367936436607</v>
      </c>
      <c r="BN125" s="214">
        <f>IF(A125&lt;intermediates!$B$29,MIN(BO124+intermediates!$B$33*AN124),MIN(BO124*intermediates!$B$35,BO124+intermediates!$B$37*AN124))</f>
        <v>20522.279117273411</v>
      </c>
      <c r="BO125" s="212">
        <f>IF(A125&lt;intermediates!$B$29,MIN(BM125,BO124+intermediates!$B$33*AN124),MIN(BM125,BO124*intermediates!$B$35,BO124+intermediates!$B$37*AN124))</f>
        <v>19965.367936436607</v>
      </c>
      <c r="BP125" s="214">
        <f t="shared" si="218"/>
        <v>556.9111808368034</v>
      </c>
      <c r="BQ125" s="214">
        <f t="shared" si="219"/>
        <v>0</v>
      </c>
      <c r="BR125" s="212" t="str">
        <f t="shared" si="235"/>
        <v/>
      </c>
      <c r="BS125" s="212">
        <f>BP125*conversions!$C$1*intermediates!$B$42/intermediates!$B$43</f>
        <v>1242.9569724449088</v>
      </c>
      <c r="BT125" s="214">
        <f>MIN(BT124+BS125,intermediates!$B$27*1000)</f>
        <v>0</v>
      </c>
      <c r="BU125" s="219" t="str">
        <f>IF(AND(BT125=intermediates!$B$27*1000,BT124&lt;&gt;intermediates!$B$27*1000),A125,"")</f>
        <v/>
      </c>
      <c r="BV125" s="212">
        <f>BT125*intermediates!$B$43/(conversions!$C$1*intermediates!$B$42)</f>
        <v>0</v>
      </c>
      <c r="BW125" s="214">
        <f t="shared" si="220"/>
        <v>26093.464956739484</v>
      </c>
      <c r="BX125" s="214">
        <f t="shared" si="221"/>
        <v>19965.367936436607</v>
      </c>
      <c r="BY125" s="227">
        <f>IF(OR(BQ125&gt;0,BT125&lt;&gt;intermediates!$B$27*1000),MAX(0,(BX125-BX124)/AM124),0.000000000001)</f>
        <v>9.9999999999999998E-13</v>
      </c>
      <c r="BZ125" s="322">
        <f>BH125*intermediates!$B$49*1000000</f>
        <v>0</v>
      </c>
      <c r="CA125" s="322">
        <f>BI125*conversions!$C$1*1000000*intermediates!$B$50</f>
        <v>0</v>
      </c>
      <c r="CB125" s="322">
        <f>BT125*1000000*intermediates!$B$49</f>
        <v>0</v>
      </c>
      <c r="CC125" s="214">
        <f>BW125*conversions!$C$1*1000000/L125</f>
        <v>27280.713368899305</v>
      </c>
      <c r="CD125" s="173">
        <f t="shared" si="189"/>
        <v>2069</v>
      </c>
      <c r="CE125" s="173"/>
      <c r="CF125" s="173"/>
      <c r="CG125" s="173"/>
      <c r="CH125" s="173"/>
      <c r="CI125" s="173">
        <f t="shared" si="222"/>
        <v>0</v>
      </c>
      <c r="CJ125" s="173">
        <f t="shared" si="223"/>
        <v>1897.5897864678325</v>
      </c>
      <c r="CK125" s="173">
        <f t="shared" si="224"/>
        <v>2087.4771965391587</v>
      </c>
      <c r="CL125" s="173">
        <f t="shared" si="225"/>
        <v>2143.0300372958864</v>
      </c>
      <c r="CM125" s="173"/>
      <c r="CN125" s="173"/>
      <c r="CO125" s="329">
        <f t="shared" si="169"/>
        <v>19965.367936436607</v>
      </c>
      <c r="CP125" s="174">
        <f t="shared" si="226"/>
        <v>0</v>
      </c>
      <c r="CQ125" s="228">
        <f t="shared" si="227"/>
        <v>10</v>
      </c>
      <c r="CR125" s="228">
        <f t="shared" si="170"/>
        <v>335</v>
      </c>
      <c r="CS125" s="214">
        <f t="shared" ca="1" si="228"/>
        <v>-13.946326124974004</v>
      </c>
      <c r="CT125" s="190">
        <f t="shared" ca="1" si="229"/>
        <v>-1.2497898596297723</v>
      </c>
      <c r="CU125" s="190">
        <f t="shared" ca="1" si="236"/>
        <v>-13.946326124974004</v>
      </c>
      <c r="CV125" s="198">
        <f t="shared" si="174"/>
        <v>3203.9310777670239</v>
      </c>
      <c r="CW125" s="198">
        <f t="shared" ca="1" si="171"/>
        <v>3796.8898451957907</v>
      </c>
      <c r="CX125" s="198">
        <f t="shared" ca="1" si="230"/>
        <v>3452.5265227191217</v>
      </c>
      <c r="CY125" s="198">
        <f t="shared" ca="1" si="173"/>
        <v>-344.36332247666866</v>
      </c>
      <c r="CZ125" s="199">
        <f ca="1">IF(CX125&lt;intermediates!$B$55,intermediates!$B$56+(CX125-intermediates!$B$55)*intermediates!$B$53,intermediates!$B$56+(data!CX125-intermediates!$B$55)*intermediates!$B$58)</f>
        <v>1.8465746354566819</v>
      </c>
      <c r="DG125" s="201">
        <f>IF(A125&gt;MAX(intermediates!B$31,intermediates!$B$32),DG124,DG124+intermediates!$B$60*DG$73)</f>
        <v>19431776475000</v>
      </c>
      <c r="DH125" s="201">
        <f>IF(A125&gt;MAX(intermediates!B$31,intermediates!$B$32),DH124,DH124+intermediates!$B$61*DH$73)</f>
        <v>28612009612500</v>
      </c>
      <c r="DI125" s="201">
        <f>IF(A125&gt;MAX(intermediates!B$31,intermediates!$B$32),DI124,DI124+intermediates!$B$62*DI$73)</f>
        <v>38694372656000</v>
      </c>
      <c r="DJ125" s="221"/>
      <c r="EE125" s="218"/>
      <c r="EF125" s="212">
        <f>$EF$69+intermediates!$B$90*(A125-2013)*intermediates!$B$92+intermediates!$B$91*intermediates!$B$92*(A125-2013)^2</f>
        <v>3107.5465285492187</v>
      </c>
      <c r="EH125" s="212">
        <f>IF(A125&lt;intermediates!$B$29,data!EH124,IF(A125&lt;intermediates!$B$31,data!$EH$69+(intermediates!$B$93-data!$EH$69)*(data!A125-intermediates!$B$29)/(intermediates!$B$31-intermediates!$B$29),intermediates!$B$93))</f>
        <v>2.522212345090466E-2</v>
      </c>
      <c r="EI125" s="212">
        <f t="shared" si="128"/>
        <v>2.522212345090466E-2</v>
      </c>
      <c r="EN125" s="218"/>
      <c r="EO125" s="212">
        <f t="shared" si="129"/>
        <v>3029.16760637672</v>
      </c>
      <c r="EQ125" s="212">
        <f t="shared" si="130"/>
        <v>78.378922172498733</v>
      </c>
      <c r="ET125" s="214">
        <f>IF(A125&lt;intermediates!$B$29,ET124+intermediates!$B$63,ET124+intermediates!$B$63*intermediates!$B$67)</f>
        <v>1344.3845686550264</v>
      </c>
      <c r="EU125" s="215">
        <f t="shared" si="131"/>
        <v>1344.3845686550264</v>
      </c>
      <c r="EV125" s="216">
        <f>data!EU125*conversions!$C$13</f>
        <v>1.5635192533457958</v>
      </c>
      <c r="EX125" s="212">
        <f>intermediates!$B$64+intermediates!$B$64*(EXP(-(data!A125-intermediates!$B$66)/intermediates!$B$65)-1)</f>
        <v>7.6797509906356646E-3</v>
      </c>
      <c r="EY125" s="217">
        <f>IF(A125&lt;intermediates!$B$29,data!EX125,data!EY124+(data!EX125-data!EX124)*intermediates!$B$68)</f>
        <v>7.6797509906356646E-3</v>
      </c>
      <c r="EZ125" s="217">
        <f t="shared" si="132"/>
        <v>7.6797509906356646E-3</v>
      </c>
      <c r="FB125" s="212">
        <f>intermediates!$B$94+intermediates!$B$95+(intermediates!$B$95*(EXP(-(data!A125-intermediates!$B$97)/intermediates!$B$96)-1))</f>
        <v>1.5748698258295446</v>
      </c>
      <c r="FC125" s="217">
        <f>IF(A125&lt;intermediates!$B$29,data!FB125,data!FC124+(data!FB125-data!FB124)*intermediates!$B$68)</f>
        <v>1.5748698258295446</v>
      </c>
      <c r="FD125" s="212">
        <f t="shared" si="133"/>
        <v>1.5748698258295446</v>
      </c>
      <c r="FF125" s="184">
        <f>intermediates!$B$98+intermediates!$B$99*EXP(-(A125-intermediates!$B$101)/intermediates!$B$100)</f>
        <v>0.89578782960833203</v>
      </c>
      <c r="FG125" s="184">
        <f t="shared" si="101"/>
        <v>0.89578782960833203</v>
      </c>
      <c r="FI125" s="184">
        <f>intermediates!$B$102+intermediates!$B$103*EXP(-(A125-intermediates!$B$105)/intermediates!$B$104)</f>
        <v>1.5620888437668847E-2</v>
      </c>
      <c r="FJ125" s="184">
        <f t="shared" si="134"/>
        <v>1.5620888437668847E-2</v>
      </c>
      <c r="FL125" s="184">
        <f>intermediates!$B$106</f>
        <v>4.5616870531049965E-2</v>
      </c>
      <c r="FM125" s="184">
        <f t="shared" si="135"/>
        <v>4.5616870531049965E-2</v>
      </c>
      <c r="FN125" s="218">
        <f>IF(A125&lt;intermediates!$B$29,0,IF(A125&lt;intermediates!$B$31,(data!A125-intermediates!$B$29)/(intermediates!$B$31-intermediates!$B$29),1))</f>
        <v>1</v>
      </c>
      <c r="FO125" s="218">
        <f t="shared" si="232"/>
        <v>319238286784374.56</v>
      </c>
      <c r="FP125" s="218">
        <f t="shared" si="177"/>
        <v>356377119930236.25</v>
      </c>
      <c r="FQ125" s="218">
        <f t="shared" si="178"/>
        <v>2736887539824.1167</v>
      </c>
      <c r="FR125" s="218">
        <f t="shared" si="179"/>
        <v>561247572794165.88</v>
      </c>
      <c r="FS125" s="218">
        <f t="shared" si="180"/>
        <v>417475464892.9505</v>
      </c>
      <c r="FT125" s="218">
        <f>intermediates!$B$69*data!EU125/intermediates!$B$71</f>
        <v>3.4219074639237981</v>
      </c>
      <c r="FU125" s="218">
        <f>BC125*conversions!$C$1*1000000</f>
        <v>24353900626290.184</v>
      </c>
      <c r="FV125" s="218">
        <f t="shared" si="184"/>
        <v>7117054123481.2646</v>
      </c>
      <c r="FX125" s="221"/>
      <c r="FY125" s="221"/>
      <c r="FZ125" s="221"/>
      <c r="GA125" s="218">
        <f t="shared" si="190"/>
        <v>1394.867106809595</v>
      </c>
      <c r="GB125" s="218">
        <f>GA125*1000000*10000*intermediates!$B$71/(intermediates!$B$72*data!EU125)</f>
        <v>5095356615846.8789</v>
      </c>
      <c r="GC125" s="218">
        <f t="shared" si="233"/>
        <v>9177311427618.9023</v>
      </c>
      <c r="GD125" s="218">
        <f t="shared" si="144"/>
        <v>21807197631839.996</v>
      </c>
      <c r="GE125" s="218">
        <f t="shared" si="182"/>
        <v>23229734514975.387</v>
      </c>
      <c r="GF125" s="218">
        <f t="shared" si="183"/>
        <v>362869091295.09595</v>
      </c>
      <c r="GG125" s="218">
        <f t="shared" si="136"/>
        <v>1059667791840.2949</v>
      </c>
      <c r="GH125" s="218">
        <f t="shared" si="191"/>
        <v>9414771968469.7617</v>
      </c>
      <c r="GI125" s="218">
        <f t="shared" si="145"/>
        <v>180014924042.0918</v>
      </c>
      <c r="GJ125" s="218">
        <f>ET125*intermediates!$B$73/intermediates!$B$71</f>
        <v>5.1328611958856971</v>
      </c>
      <c r="GK125" s="218">
        <f>CL125*conversions!$C$1*1000000/data!GJ125</f>
        <v>4870970818736.7285</v>
      </c>
      <c r="GL125" s="218">
        <f>MIN(1,FN125)*(intermediates!$B$75-data!$GL$69)+data!$GL$69</f>
        <v>1</v>
      </c>
      <c r="GM125" s="218">
        <f>GL125*intermediates!$B$74*(FS125+GC125+GK125+GG125+GF125+GB125+FV125)</f>
        <v>4215105800056.8174</v>
      </c>
      <c r="GN125" s="218">
        <f>MIN(1,FN125)*intermediates!$B$76</f>
        <v>0.12</v>
      </c>
      <c r="GO125" s="218">
        <f t="shared" si="137"/>
        <v>3877897336052.272</v>
      </c>
      <c r="GP125" s="218">
        <f>IF(A125&gt;intermediates!$B$29,MIN(1,(A125-intermediates!$B$29)/(intermediates!$B$31-intermediates!$B$29))*intermediates!$B$77,0)</f>
        <v>0.15</v>
      </c>
      <c r="GQ125" s="218">
        <f>IF(AND(A125&gt;intermediates!$B$29+intermediates!$B$30,data!GP125&lt;intermediates!$B$77),1,0)</f>
        <v>0</v>
      </c>
      <c r="GR125" s="218">
        <f t="shared" si="192"/>
        <v>7206567913125</v>
      </c>
      <c r="GS125" s="218">
        <f t="shared" si="193"/>
        <v>46137163922770.32</v>
      </c>
      <c r="GT125" s="218">
        <f t="shared" si="188"/>
        <v>86738158743500</v>
      </c>
      <c r="GU125" s="218">
        <f t="shared" si="194"/>
        <v>45900940569125</v>
      </c>
      <c r="GV125" s="218">
        <f t="shared" si="195"/>
        <v>32315811133768.934</v>
      </c>
      <c r="GW125" s="218">
        <f t="shared" si="196"/>
        <v>1906622164729.6797</v>
      </c>
      <c r="GX125" s="218">
        <f>MIN(intermediates!$B$88,FN125*intermediates!$B$87*GO125)</f>
        <v>1938948668026.136</v>
      </c>
      <c r="GY125" s="218">
        <f t="shared" si="197"/>
        <v>1938948668026.136</v>
      </c>
      <c r="GZ125" s="218">
        <f>MIN(intermediates!$B$88-GX125,intermediates!$B$87*data!GW125*FN125)</f>
        <v>953311082364.83984</v>
      </c>
      <c r="HA125" s="218">
        <f t="shared" si="138"/>
        <v>953311082364.83984</v>
      </c>
      <c r="HB125" s="218">
        <f t="shared" si="139"/>
        <v>2892259750390.9756</v>
      </c>
      <c r="HC125" s="218">
        <f t="shared" si="198"/>
        <v>5629147290215.0928</v>
      </c>
      <c r="HD125" s="218">
        <f>HC125*intermediates!$B$79/(10000*1000000000)</f>
        <v>373.63017300518754</v>
      </c>
      <c r="HE125" s="218">
        <f>(GV125*intermediates!$B$80+GV125*GL125*intermediates!$B$82)/(10000*1000000000)</f>
        <v>1204.8350530512021</v>
      </c>
      <c r="HF125" s="218">
        <f>GU125*intermediates!$B$78/(10000*1000000000)</f>
        <v>4622.1949912358032</v>
      </c>
      <c r="HG125" s="218">
        <f>HB125*intermediates!$B$81/(10000*1000000000)</f>
        <v>727.00856038860775</v>
      </c>
      <c r="HH125" s="218">
        <f t="shared" si="199"/>
        <v>0</v>
      </c>
      <c r="HI125" s="218">
        <f t="shared" si="200"/>
        <v>12.363939780292412</v>
      </c>
      <c r="HJ125" s="218">
        <f t="shared" si="201"/>
        <v>-4.1869778029560507</v>
      </c>
      <c r="HK125" s="218">
        <f ca="1">SUM(HJ125:INDIRECT(ADDRESS(MAX(CELL("row",HJ125)-intermediates!$B$83,69),CELL("col",HJ125))))/intermediates!$B$83+SUM(HH125:INDIRECT(ADDRESS(MAX(CELL("row",HH125)-intermediates!$B$84,69),CELL("col",HH125))))/intermediates!$B$84+SUM(HI125:INDIRECT(ADDRESS(MAX(CELL("row",HI125)-intermediates!$B$85,69),CELL("col",HI125))))/intermediates!$B$85</f>
        <v>3.9463261249740045</v>
      </c>
      <c r="HL125" s="218">
        <f t="shared" ca="1" si="163"/>
        <v>-583.59544495209582</v>
      </c>
      <c r="HM125" s="188">
        <f t="shared" si="202"/>
        <v>2069</v>
      </c>
      <c r="HQ125" s="185">
        <f t="shared" si="203"/>
        <v>971.17754074013089</v>
      </c>
      <c r="HR125" s="185">
        <f t="shared" si="204"/>
        <v>637.78962246085598</v>
      </c>
      <c r="HS125" s="185">
        <f t="shared" si="205"/>
        <v>456.61667256435055</v>
      </c>
      <c r="HT125" s="185">
        <f t="shared" si="206"/>
        <v>436.50850275961409</v>
      </c>
      <c r="HU125" s="185">
        <f t="shared" si="207"/>
        <v>377.73363672774923</v>
      </c>
      <c r="HV125" s="185">
        <f t="shared" si="208"/>
        <v>347.51494578952929</v>
      </c>
      <c r="HW125" s="185">
        <f t="shared" si="209"/>
        <v>645.8113355336227</v>
      </c>
      <c r="HX125" s="185">
        <f t="shared" si="210"/>
        <v>16.131906326710066</v>
      </c>
      <c r="HY125" s="185">
        <f t="shared" si="211"/>
        <v>245.26418381210999</v>
      </c>
      <c r="HZ125" s="185">
        <f t="shared" si="140"/>
        <v>3873.1522565758532</v>
      </c>
      <c r="IA125" s="185">
        <f t="shared" si="141"/>
        <v>4134.5483467146732</v>
      </c>
      <c r="IB125" s="185">
        <f t="shared" si="212"/>
        <v>2603.3921988472011</v>
      </c>
      <c r="IC125" s="185">
        <f t="shared" si="231"/>
        <v>4305.4089035574852</v>
      </c>
      <c r="ID125" s="185">
        <f t="shared" si="213"/>
        <v>3467.5680273678158</v>
      </c>
      <c r="IE125" s="184">
        <f t="shared" si="142"/>
        <v>-0.12465700559298103</v>
      </c>
      <c r="IF125" s="184">
        <f t="shared" si="143"/>
        <v>-4.9273887489529641E-2</v>
      </c>
    </row>
    <row r="126" spans="1:240" x14ac:dyDescent="0.3">
      <c r="A126" s="211">
        <v>2070</v>
      </c>
      <c r="E126" s="207">
        <v>8675770.1449999996</v>
      </c>
      <c r="F126" s="207">
        <v>10459239.501</v>
      </c>
      <c r="G126" s="207">
        <v>12495986.834000001</v>
      </c>
      <c r="I126" s="207">
        <f t="shared" si="164"/>
        <v>8675770145</v>
      </c>
      <c r="J126" s="207">
        <f t="shared" si="164"/>
        <v>10459239501</v>
      </c>
      <c r="K126" s="207">
        <f t="shared" si="164"/>
        <v>12495986834</v>
      </c>
      <c r="L126" s="187">
        <f>IF(intermediates!$B$4&gt;=2,(intermediates!$B$4-2)*K126+(1-(intermediates!$B$4-2))*J126,(intermediates!$B$4-1)*J126+(1-(intermediates!$B$4-1))*I126)</f>
        <v>11211327715.814062</v>
      </c>
      <c r="AJ126" s="184">
        <f>IF(intermediates!$B$46=0,$AJ$74+(intermediates!$B$15-$AJ$74)*MIN(1,(data!A126-data!$A$74)/(intermediates!$B$32-data!$A$74)),IF(A126&lt;2021,$AJ$74+(intermediates!$B$15-$AJ$74)*MIN(1,(data!A126-data!$A$74)/(intermediates!$B$32-data!$A$74)),intermediates!$B$47+(intermediates!$B$15-intermediates!$B$47)*MIN(1,(data!A126-$A$77)/(intermediates!$B$32-$A$77))))</f>
        <v>27400</v>
      </c>
      <c r="AK126" s="192">
        <f t="shared" si="146"/>
        <v>27400</v>
      </c>
      <c r="AL126" s="192">
        <f t="shared" si="234"/>
        <v>307190379413305.31</v>
      </c>
      <c r="AM126" s="192">
        <f>data!AL126/(1000000*conversions!$C$1)</f>
        <v>26330.603949711884</v>
      </c>
      <c r="AN126" s="192">
        <f>IF(intermediates!$B$13=1,($AJ$74+(27400-$AJ$74)*MIN(1,(data!A126-data!$A$74)/(intermediates!$B$32-data!$A$74)))*L126/(1000000*conversions!$C$1),data!AM126)</f>
        <v>26330.603949711884</v>
      </c>
      <c r="AV126" s="214">
        <f>IF(A126&lt;intermediates!$B$29,0,IF(A126&lt;intermediates!$B$31,(data!A126-intermediates!$B$29)*intermediates!$B$26/(intermediates!$B$31-intermediates!$B$29),intermediates!$B$26))</f>
        <v>10</v>
      </c>
      <c r="AW126" s="212">
        <f>MIN(AW125+intermediates!$B$16,intermediates!$B$17*data!$AW$74)</f>
        <v>1897.5897864678325</v>
      </c>
      <c r="AX126" s="212">
        <f>AV126*1000/conversions!$C$16/intermediates!$B$40</f>
        <v>8187.0584968062822</v>
      </c>
      <c r="AY126" s="212">
        <f>AX126*(1-intermediates!$B$39)*intermediates!$B$28/(conversions!$C$2)</f>
        <v>2143.0300372958864</v>
      </c>
      <c r="AZ126" s="213">
        <f>IF(A126&lt;intermediates!$B$29,0,MIN(intermediates!$B$25,intermediates!$B$25*(A126-intermediates!$B$29)/(intermediates!$B$31-intermediates!$B$29)))</f>
        <v>0</v>
      </c>
      <c r="BA126" s="212">
        <f>IF(A126&lt;intermediates!$B$29,data!$BA$74,IF(intermediates!$B$23&gt;data!$BA$74,MIN(intermediates!$B$23,data!$BA$74+(intermediates!$B$23-data!$BA$74)*((data!A126-intermediates!$B$29)/(intermediates!$B$31-intermediates!$B$29))),MAX(intermediates!$B$23,data!$BA$74+(intermediates!$B$23-data!$BA$74)*((data!A126-intermediates!$B$29)/(intermediates!$B$31-intermediates!$B$29)))))</f>
        <v>0.08</v>
      </c>
      <c r="BB126" s="212">
        <f t="shared" si="214"/>
        <v>2106.4483159769507</v>
      </c>
      <c r="BC126" s="212">
        <f t="shared" si="166"/>
        <v>2106.4483159769507</v>
      </c>
      <c r="BD126" s="212">
        <f t="shared" si="167"/>
        <v>0</v>
      </c>
      <c r="BE126" s="214">
        <f>MAX(0,MIN(1,(data!A126-intermediates!$B$29)/(intermediates!$B$31-intermediates!$B$29)))*((intermediates!$B$38*L126)-$BE$69*1000000000)/1000000000+$BE$69</f>
        <v>1401.4159644767578</v>
      </c>
      <c r="BF126" s="214">
        <f t="shared" si="99"/>
        <v>1401.4159644767578</v>
      </c>
      <c r="BG126" s="214">
        <f t="shared" si="168"/>
        <v>0</v>
      </c>
      <c r="BH126" s="214">
        <f>BD126*conversions!$C$2/conversions!$C$17+BG126*conversions!$C$6/conversions!$C$10</f>
        <v>0</v>
      </c>
      <c r="BI126" s="214">
        <f>BH126*intermediates!$B$41*conversions!$C$11/(conversions!$C$2*conversions!$C$6*intermediates!$B$42)</f>
        <v>0</v>
      </c>
      <c r="BJ126" s="214">
        <f>BH126*intermediates!$B$43/(conversions!$C$1*intermediates!$B$42)</f>
        <v>0</v>
      </c>
      <c r="BK126" s="214">
        <f t="shared" si="215"/>
        <v>0</v>
      </c>
      <c r="BL126" s="214">
        <f t="shared" si="216"/>
        <v>26330.603949711884</v>
      </c>
      <c r="BM126" s="214">
        <f t="shared" si="217"/>
        <v>20183.535809971214</v>
      </c>
      <c r="BN126" s="214">
        <f>IF(A126&lt;intermediates!$B$29,MIN(BO125+intermediates!$B$33*AN125),MIN(BO125*intermediates!$B$35,BO125+intermediates!$B$37*AN125))</f>
        <v>20747.815119793493</v>
      </c>
      <c r="BO126" s="212">
        <f>IF(A126&lt;intermediates!$B$29,MIN(BM126,BO125+intermediates!$B$33*AN125),MIN(BM126,BO125*intermediates!$B$35,BO125+intermediates!$B$37*AN125))</f>
        <v>20183.535809971214</v>
      </c>
      <c r="BP126" s="214">
        <f t="shared" si="218"/>
        <v>564.27930982227917</v>
      </c>
      <c r="BQ126" s="214">
        <f t="shared" si="219"/>
        <v>0</v>
      </c>
      <c r="BR126" s="212" t="str">
        <f t="shared" si="235"/>
        <v/>
      </c>
      <c r="BS126" s="212">
        <f>BP126*conversions!$C$1*intermediates!$B$42/intermediates!$B$43</f>
        <v>1259.4017263150135</v>
      </c>
      <c r="BT126" s="214">
        <f>MIN(BT125+BS126,intermediates!$B$27*1000)</f>
        <v>0</v>
      </c>
      <c r="BU126" s="219" t="str">
        <f>IF(AND(BT126=intermediates!$B$27*1000,BT125&lt;&gt;intermediates!$B$27*1000),A126,"")</f>
        <v/>
      </c>
      <c r="BV126" s="212">
        <f>BT126*intermediates!$B$43/(conversions!$C$1*intermediates!$B$42)</f>
        <v>0</v>
      </c>
      <c r="BW126" s="214">
        <f t="shared" si="220"/>
        <v>26330.603949711884</v>
      </c>
      <c r="BX126" s="214">
        <f t="shared" si="221"/>
        <v>20183.535809971214</v>
      </c>
      <c r="BY126" s="227">
        <f>IF(OR(BQ126&gt;0,BT126&lt;&gt;intermediates!$B$27*1000),MAX(0,(BX126-BX125)/AM125),0.000000000001)</f>
        <v>9.9999999999999998E-13</v>
      </c>
      <c r="BZ126" s="322">
        <f>BH126*intermediates!$B$49*1000000</f>
        <v>0</v>
      </c>
      <c r="CA126" s="322">
        <f>BI126*conversions!$C$1*1000000*intermediates!$B$50</f>
        <v>0</v>
      </c>
      <c r="CB126" s="322">
        <f>BT126*1000000*intermediates!$B$49</f>
        <v>0</v>
      </c>
      <c r="CC126" s="214">
        <f>BW126*conversions!$C$1*1000000/L126</f>
        <v>27400</v>
      </c>
      <c r="CD126" s="173">
        <f t="shared" si="189"/>
        <v>2070</v>
      </c>
      <c r="CE126" s="173"/>
      <c r="CF126" s="173"/>
      <c r="CG126" s="173"/>
      <c r="CH126" s="173"/>
      <c r="CI126" s="173">
        <f t="shared" si="222"/>
        <v>0</v>
      </c>
      <c r="CJ126" s="173">
        <f t="shared" si="223"/>
        <v>1897.5897864678325</v>
      </c>
      <c r="CK126" s="173">
        <f t="shared" si="224"/>
        <v>2106.4483159769507</v>
      </c>
      <c r="CL126" s="173">
        <f t="shared" si="225"/>
        <v>2143.0300372958864</v>
      </c>
      <c r="CM126" s="173"/>
      <c r="CN126" s="173"/>
      <c r="CO126" s="329">
        <f t="shared" si="169"/>
        <v>20183.535809971214</v>
      </c>
      <c r="CP126" s="174">
        <f t="shared" si="226"/>
        <v>0</v>
      </c>
      <c r="CQ126" s="228">
        <f t="shared" si="227"/>
        <v>10</v>
      </c>
      <c r="CR126" s="228">
        <f t="shared" si="170"/>
        <v>345</v>
      </c>
      <c r="CS126" s="214">
        <f t="shared" ca="1" si="228"/>
        <v>-15.260108338748218</v>
      </c>
      <c r="CT126" s="190">
        <f t="shared" ca="1" si="229"/>
        <v>-1.3611330188148167</v>
      </c>
      <c r="CU126" s="190">
        <f t="shared" ca="1" si="236"/>
        <v>-15.260108338748218</v>
      </c>
      <c r="CV126" s="198">
        <f t="shared" si="174"/>
        <v>3203.9310777670239</v>
      </c>
      <c r="CW126" s="198">
        <f t="shared" ca="1" si="171"/>
        <v>3796.8898451957907</v>
      </c>
      <c r="CX126" s="198">
        <f t="shared" ca="1" si="230"/>
        <v>3437.2664143803736</v>
      </c>
      <c r="CY126" s="198">
        <f t="shared" ca="1" si="173"/>
        <v>-359.6234308154169</v>
      </c>
      <c r="CZ126" s="199">
        <f ca="1">IF(CX126&lt;intermediates!$B$55,intermediates!$B$56+(CX126-intermediates!$B$55)*intermediates!$B$53,intermediates!$B$56+(data!CX126-intermediates!$B$55)*intermediates!$B$58)</f>
        <v>1.8382761931551022</v>
      </c>
      <c r="DG126" s="201">
        <f>IF(A126&gt;MAX(intermediates!B$31,intermediates!$B$32),DG125,DG125+intermediates!$B$60*DG$73)</f>
        <v>19505207416250</v>
      </c>
      <c r="DH126" s="201">
        <f>IF(A126&gt;MAX(intermediates!B$31,intermediates!$B$32),DH125,DH125+intermediates!$B$61*DH$73)</f>
        <v>28534082329375</v>
      </c>
      <c r="DI126" s="201">
        <f>IF(A126&gt;MAX(intermediates!B$31,intermediates!$B$32),DI125,DI125+intermediates!$B$62*DI$73)</f>
        <v>38669431049000</v>
      </c>
      <c r="DJ126" s="221"/>
      <c r="EE126" s="218"/>
      <c r="EF126" s="212">
        <f>$EF$69+intermediates!$B$90*(A126-2013)*intermediates!$B$92+intermediates!$B$91*intermediates!$B$92*(A126-2013)^2</f>
        <v>3110.9186185492185</v>
      </c>
      <c r="EH126" s="212">
        <f>IF(A126&lt;intermediates!$B$29,data!EH125,IF(A126&lt;intermediates!$B$31,data!$EH$69+(intermediates!$B$93-data!$EH$69)*(data!A126-intermediates!$B$29)/(intermediates!$B$31-intermediates!$B$29),intermediates!$B$93))</f>
        <v>2.522212345090466E-2</v>
      </c>
      <c r="EI126" s="212">
        <f t="shared" si="128"/>
        <v>2.522212345090466E-2</v>
      </c>
      <c r="EN126" s="218"/>
      <c r="EO126" s="212">
        <f t="shared" si="129"/>
        <v>3032.4546451064521</v>
      </c>
      <c r="EQ126" s="212">
        <f t="shared" si="130"/>
        <v>78.463973442766473</v>
      </c>
      <c r="ET126" s="214">
        <f>IF(A126&lt;intermediates!$B$29,ET125+intermediates!$B$63,ET125+intermediates!$B$63*intermediates!$B$67)</f>
        <v>1354.3601580464692</v>
      </c>
      <c r="EU126" s="215">
        <f t="shared" si="131"/>
        <v>1354.3601580464692</v>
      </c>
      <c r="EV126" s="216">
        <f>data!EU126*conversions!$C$13</f>
        <v>1.5751208638080436</v>
      </c>
      <c r="EX126" s="212">
        <f>intermediates!$B$64+intermediates!$B$64*(EXP(-(data!A126-intermediates!$B$66)/intermediates!$B$65)-1)</f>
        <v>7.5369806835288728E-3</v>
      </c>
      <c r="EY126" s="217">
        <f>IF(A126&lt;intermediates!$B$29,data!EX126,data!EY125+(data!EX126-data!EX125)*intermediates!$B$68)</f>
        <v>7.5369806835288728E-3</v>
      </c>
      <c r="EZ126" s="217">
        <f t="shared" si="132"/>
        <v>7.5369806835288728E-3</v>
      </c>
      <c r="FB126" s="212">
        <f>intermediates!$B$94+intermediates!$B$95+(intermediates!$B$95*(EXP(-(data!A126-intermediates!$B$97)/intermediates!$B$96)-1))</f>
        <v>1.5728280913512549</v>
      </c>
      <c r="FC126" s="217">
        <f>IF(A126&lt;intermediates!$B$29,data!FB126,data!FC125+(data!FB126-data!FB125)*intermediates!$B$68)</f>
        <v>1.5728280913512549</v>
      </c>
      <c r="FD126" s="212">
        <f t="shared" si="133"/>
        <v>1.5728280913512549</v>
      </c>
      <c r="FF126" s="184">
        <f>intermediates!$B$98+intermediates!$B$99*EXP(-(A126-intermediates!$B$101)/intermediates!$B$100)</f>
        <v>0.89609880256161956</v>
      </c>
      <c r="FG126" s="184">
        <f t="shared" si="101"/>
        <v>0.89609880256161956</v>
      </c>
      <c r="FI126" s="184">
        <f>intermediates!$B$102+intermediates!$B$103*EXP(-(A126-intermediates!$B$105)/intermediates!$B$104)</f>
        <v>1.5541704407702184E-2</v>
      </c>
      <c r="FJ126" s="184">
        <f t="shared" si="134"/>
        <v>1.5541704407702184E-2</v>
      </c>
      <c r="FL126" s="184">
        <f>intermediates!$B$106</f>
        <v>4.5616870531049965E-2</v>
      </c>
      <c r="FM126" s="184">
        <f t="shared" si="135"/>
        <v>4.5616870531049965E-2</v>
      </c>
      <c r="FN126" s="218">
        <f>IF(A126&lt;intermediates!$B$29,0,IF(A126&lt;intermediates!$B$31,(data!A126-intermediates!$B$29)/(intermediates!$B$31-intermediates!$B$29),1))</f>
        <v>1</v>
      </c>
      <c r="FO126" s="218">
        <f t="shared" si="232"/>
        <v>321085141855402</v>
      </c>
      <c r="FP126" s="218">
        <f t="shared" si="177"/>
        <v>358314441373581.5</v>
      </c>
      <c r="FQ126" s="218">
        <f t="shared" si="178"/>
        <v>2700609023262.1226</v>
      </c>
      <c r="FR126" s="218">
        <f t="shared" si="179"/>
        <v>563567018929201.25</v>
      </c>
      <c r="FS126" s="218">
        <f t="shared" si="180"/>
        <v>416113111110.77795</v>
      </c>
      <c r="FT126" s="218">
        <f>intermediates!$B$69*data!EU126/intermediates!$B$71</f>
        <v>3.4472986686367233</v>
      </c>
      <c r="FU126" s="218">
        <f>BC126*conversions!$C$1*1000000</f>
        <v>24575230353064.422</v>
      </c>
      <c r="FV126" s="218">
        <f t="shared" si="184"/>
        <v>7128837015674.9424</v>
      </c>
      <c r="FX126" s="221"/>
      <c r="FY126" s="221"/>
      <c r="FZ126" s="221"/>
      <c r="GA126" s="218">
        <f t="shared" si="190"/>
        <v>1401.4159644767578</v>
      </c>
      <c r="GB126" s="218">
        <f>GA126*1000000*10000*intermediates!$B$71/(intermediates!$B$72*data!EU126)</f>
        <v>5081572918335.8125</v>
      </c>
      <c r="GC126" s="218">
        <f t="shared" si="233"/>
        <v>9162417065940.8652</v>
      </c>
      <c r="GD126" s="218">
        <f t="shared" si="144"/>
        <v>21788940111062.395</v>
      </c>
      <c r="GE126" s="218">
        <f t="shared" si="182"/>
        <v>23208328402893.957</v>
      </c>
      <c r="GF126" s="218">
        <f t="shared" si="183"/>
        <v>360696979834.6568</v>
      </c>
      <c r="GG126" s="218">
        <f t="shared" si="136"/>
        <v>1058691311996.9032</v>
      </c>
      <c r="GH126" s="218">
        <f t="shared" si="191"/>
        <v>9399492219065.9668</v>
      </c>
      <c r="GI126" s="218">
        <f t="shared" si="145"/>
        <v>179037957985.67578</v>
      </c>
      <c r="GJ126" s="218">
        <f>ET126*intermediates!$B$73/intermediates!$B$71</f>
        <v>5.1709480029550852</v>
      </c>
      <c r="GK126" s="218">
        <f>CL126*conversions!$C$1*1000000/data!GJ126</f>
        <v>4835093504614.0918</v>
      </c>
      <c r="GL126" s="218">
        <f>MIN(1,FN126)*(intermediates!$B$75-data!$GL$69)+data!$GL$69</f>
        <v>1</v>
      </c>
      <c r="GM126" s="218">
        <f>GL126*intermediates!$B$74*(FS126+GC126+GK126+GG126+GF126+GB126+FV126)</f>
        <v>4206513286126.207</v>
      </c>
      <c r="GN126" s="218">
        <f>MIN(1,FN126)*intermediates!$B$76</f>
        <v>0.12</v>
      </c>
      <c r="GO126" s="218">
        <f t="shared" si="137"/>
        <v>3869992223236.1104</v>
      </c>
      <c r="GP126" s="218">
        <f>IF(A126&gt;intermediates!$B$29,MIN(1,(A126-intermediates!$B$29)/(intermediates!$B$31-intermediates!$B$29))*intermediates!$B$77,0)</f>
        <v>0.15</v>
      </c>
      <c r="GQ126" s="218">
        <f>IF(AND(A126&gt;intermediates!$B$29+intermediates!$B$30,data!GP126&lt;intermediates!$B$77),1,0)</f>
        <v>0</v>
      </c>
      <c r="GR126" s="218">
        <f t="shared" si="192"/>
        <v>7205893461843.75</v>
      </c>
      <c r="GS126" s="218">
        <f t="shared" si="193"/>
        <v>46026429901976.242</v>
      </c>
      <c r="GT126" s="218">
        <f t="shared" si="188"/>
        <v>86708720794625</v>
      </c>
      <c r="GU126" s="218">
        <f t="shared" si="194"/>
        <v>45875324510843.75</v>
      </c>
      <c r="GV126" s="218">
        <f t="shared" si="195"/>
        <v>32249935193634.254</v>
      </c>
      <c r="GW126" s="218">
        <f t="shared" si="196"/>
        <v>2012859843648.7578</v>
      </c>
      <c r="GX126" s="218">
        <f>MIN(intermediates!$B$88,FN126*intermediates!$B$87*GO126)</f>
        <v>1934996111618.0552</v>
      </c>
      <c r="GY126" s="218">
        <f t="shared" si="197"/>
        <v>1934996111618.0552</v>
      </c>
      <c r="GZ126" s="218">
        <f>MIN(intermediates!$B$88-GX126,intermediates!$B$87*data!GW126*FN126)</f>
        <v>1006429921824.3789</v>
      </c>
      <c r="HA126" s="218">
        <f t="shared" si="138"/>
        <v>1006429921824.3789</v>
      </c>
      <c r="HB126" s="218">
        <f t="shared" si="139"/>
        <v>2941426033442.4341</v>
      </c>
      <c r="HC126" s="218">
        <f t="shared" si="198"/>
        <v>5642035056704.5566</v>
      </c>
      <c r="HD126" s="218">
        <f>HC126*intermediates!$B$79/(10000*1000000000)</f>
        <v>374.48558825280043</v>
      </c>
      <c r="HE126" s="218">
        <f>(GV126*intermediates!$B$80+GV126*GL126*intermediates!$B$82)/(10000*1000000000)</f>
        <v>1202.3789908623737</v>
      </c>
      <c r="HF126" s="218">
        <f>GU126*intermediates!$B$78/(10000*1000000000)</f>
        <v>4619.6154707550731</v>
      </c>
      <c r="HG126" s="218">
        <f>HB126*intermediates!$B$81/(10000*1000000000)</f>
        <v>739.36716983095391</v>
      </c>
      <c r="HH126" s="218">
        <f t="shared" si="199"/>
        <v>0</v>
      </c>
      <c r="HI126" s="218">
        <f t="shared" si="200"/>
        <v>12.358609442346165</v>
      </c>
      <c r="HJ126" s="218">
        <f t="shared" si="201"/>
        <v>-4.1801674219454981</v>
      </c>
      <c r="HK126" s="218">
        <f ca="1">SUM(HJ126:INDIRECT(ADDRESS(MAX(CELL("row",HJ126)-intermediates!$B$83,69),CELL("col",HJ126))))/intermediates!$B$83+SUM(HH126:INDIRECT(ADDRESS(MAX(CELL("row",HH126)-intermediates!$B$84,69),CELL("col",HH126))))/intermediates!$B$84+SUM(HI126:INDIRECT(ADDRESS(MAX(CELL("row",HI126)-intermediates!$B$85,69),CELL("col",HI126))))/intermediates!$B$85</f>
        <v>5.2601083387482168</v>
      </c>
      <c r="HL126" s="218">
        <f t="shared" ca="1" si="163"/>
        <v>-578.33533661334764</v>
      </c>
      <c r="HM126" s="188">
        <f t="shared" si="202"/>
        <v>2070</v>
      </c>
      <c r="HQ126" s="185">
        <f t="shared" si="203"/>
        <v>964.99547467843854</v>
      </c>
      <c r="HR126" s="185">
        <f t="shared" si="204"/>
        <v>635.8601939375485</v>
      </c>
      <c r="HS126" s="185">
        <f t="shared" si="205"/>
        <v>453.25344572418788</v>
      </c>
      <c r="HT126" s="185">
        <f t="shared" si="206"/>
        <v>431.26859076592541</v>
      </c>
      <c r="HU126" s="185">
        <f t="shared" si="207"/>
        <v>375.20206283799359</v>
      </c>
      <c r="HV126" s="185">
        <f t="shared" si="208"/>
        <v>345.18589781095409</v>
      </c>
      <c r="HW126" s="185">
        <f t="shared" si="209"/>
        <v>642.73328231049084</v>
      </c>
      <c r="HX126" s="185">
        <f t="shared" si="210"/>
        <v>15.96938048052373</v>
      </c>
      <c r="HY126" s="185">
        <f t="shared" si="211"/>
        <v>240.88217664468027</v>
      </c>
      <c r="HZ126" s="185">
        <f t="shared" si="140"/>
        <v>3848.498948065539</v>
      </c>
      <c r="IA126" s="185">
        <f t="shared" si="141"/>
        <v>4105.3505051907432</v>
      </c>
      <c r="IB126" s="185">
        <f t="shared" si="212"/>
        <v>2613.2301845738384</v>
      </c>
      <c r="IC126" s="185">
        <f t="shared" si="231"/>
        <v>4284.888548736606</v>
      </c>
      <c r="ID126" s="185">
        <f t="shared" si="213"/>
        <v>3449.1393017131322</v>
      </c>
      <c r="IE126" s="184">
        <f t="shared" si="142"/>
        <v>-0.12652130357690083</v>
      </c>
      <c r="IF126" s="184">
        <f t="shared" si="143"/>
        <v>-5.2052998687727441E-2</v>
      </c>
    </row>
    <row r="127" spans="1:240" x14ac:dyDescent="0.3">
      <c r="A127" s="211">
        <v>2071</v>
      </c>
      <c r="E127" s="207">
        <v>8647116.5069999993</v>
      </c>
      <c r="F127" s="207">
        <v>10484654.857999999</v>
      </c>
      <c r="G127" s="207">
        <v>12592925.813999999</v>
      </c>
      <c r="I127" s="207">
        <f t="shared" si="164"/>
        <v>8647116507</v>
      </c>
      <c r="J127" s="207">
        <f t="shared" si="164"/>
        <v>10484654858</v>
      </c>
      <c r="K127" s="207">
        <f t="shared" si="164"/>
        <v>12592925814</v>
      </c>
      <c r="L127" s="187">
        <f>IF(intermediates!$B$4&gt;=2,(intermediates!$B$4-2)*K127+(1-(intermediates!$B$4-2))*J127,(intermediates!$B$4-1)*J127+(1-(intermediates!$B$4-1))*I127)</f>
        <v>11263153847.026234</v>
      </c>
      <c r="AJ127" s="184">
        <f>IF(intermediates!$B$46=0,$AJ$74+(intermediates!$B$15-$AJ$74)*MIN(1,(data!A127-data!$A$74)/(intermediates!$B$32-data!$A$74)),IF(A127&lt;2021,$AJ$74+(intermediates!$B$15-$AJ$74)*MIN(1,(data!A127-data!$A$74)/(intermediates!$B$32-data!$A$74)),intermediates!$B$47+(intermediates!$B$15-intermediates!$B$47)*MIN(1,(data!A127-$A$77)/(intermediates!$B$32-$A$77))))</f>
        <v>27400</v>
      </c>
      <c r="AK127" s="192">
        <f t="shared" si="146"/>
        <v>27400</v>
      </c>
      <c r="AL127" s="192">
        <f t="shared" si="234"/>
        <v>308610415408518.81</v>
      </c>
      <c r="AM127" s="192">
        <f>data!AL127/(1000000*conversions!$C$1)</f>
        <v>26452.321320730185</v>
      </c>
      <c r="AN127" s="192">
        <f>IF(intermediates!$B$13=1,($AJ$74+(27400-$AJ$74)*MIN(1,(data!A127-data!$A$74)/(intermediates!$B$32-data!$A$74)))*L127/(1000000*conversions!$C$1),data!AM127)</f>
        <v>26452.321320730185</v>
      </c>
      <c r="AV127" s="214">
        <f>IF(A127&lt;intermediates!$B$29,0,IF(A127&lt;intermediates!$B$31,(data!A127-intermediates!$B$29)*intermediates!$B$26/(intermediates!$B$31-intermediates!$B$29),intermediates!$B$26))</f>
        <v>10</v>
      </c>
      <c r="AW127" s="212">
        <f>MIN(AW126+intermediates!$B$16,intermediates!$B$17*data!$AW$74)</f>
        <v>1897.5897864678325</v>
      </c>
      <c r="AX127" s="212">
        <f>AV127*1000/conversions!$C$16/intermediates!$B$40</f>
        <v>8187.0584968062822</v>
      </c>
      <c r="AY127" s="212">
        <f>AX127*(1-intermediates!$B$39)*intermediates!$B$28/(conversions!$C$2)</f>
        <v>2143.0300372958864</v>
      </c>
      <c r="AZ127" s="213">
        <f>IF(A127&lt;intermediates!$B$29,0,MIN(intermediates!$B$25,intermediates!$B$25*(A127-intermediates!$B$29)/(intermediates!$B$31-intermediates!$B$29)))</f>
        <v>0</v>
      </c>
      <c r="BA127" s="212">
        <f>IF(A127&lt;intermediates!$B$29,data!$BA$74,IF(intermediates!$B$23&gt;data!$BA$74,MIN(intermediates!$B$23,data!$BA$74+(intermediates!$B$23-data!$BA$74)*((data!A127-intermediates!$B$29)/(intermediates!$B$31-intermediates!$B$29))),MAX(intermediates!$B$23,data!$BA$74+(intermediates!$B$23-data!$BA$74)*((data!A127-intermediates!$B$29)/(intermediates!$B$31-intermediates!$B$29)))))</f>
        <v>0.08</v>
      </c>
      <c r="BB127" s="212">
        <f t="shared" si="214"/>
        <v>2116.1857056584149</v>
      </c>
      <c r="BC127" s="212">
        <f t="shared" si="166"/>
        <v>2116.1857056584149</v>
      </c>
      <c r="BD127" s="212">
        <f t="shared" si="167"/>
        <v>0</v>
      </c>
      <c r="BE127" s="214">
        <f>MAX(0,MIN(1,(data!A127-intermediates!$B$29)/(intermediates!$B$31-intermediates!$B$29)))*((intermediates!$B$38*L127)-$BE$69*1000000000)/1000000000+$BE$69</f>
        <v>1407.8942308782791</v>
      </c>
      <c r="BF127" s="214">
        <f t="shared" si="99"/>
        <v>1407.8942308782791</v>
      </c>
      <c r="BG127" s="214">
        <f t="shared" si="168"/>
        <v>0</v>
      </c>
      <c r="BH127" s="214">
        <f>BD127*conversions!$C$2/conversions!$C$17+BG127*conversions!$C$6/conversions!$C$10</f>
        <v>0</v>
      </c>
      <c r="BI127" s="214">
        <f>BH127*intermediates!$B$41*conversions!$C$11/(conversions!$C$2*conversions!$C$6*intermediates!$B$42)</f>
        <v>0</v>
      </c>
      <c r="BJ127" s="214">
        <f>BH127*intermediates!$B$43/(conversions!$C$1*intermediates!$B$42)</f>
        <v>0</v>
      </c>
      <c r="BK127" s="214">
        <f t="shared" si="215"/>
        <v>0</v>
      </c>
      <c r="BL127" s="214">
        <f t="shared" si="216"/>
        <v>26452.321320730185</v>
      </c>
      <c r="BM127" s="214">
        <f t="shared" si="217"/>
        <v>20295.515791308051</v>
      </c>
      <c r="BN127" s="214">
        <f>IF(A127&lt;intermediates!$B$29,MIN(BO126+intermediates!$B$33*AN126),MIN(BO126*intermediates!$B$35,BO126+intermediates!$B$37*AN126))</f>
        <v>20973.093920812164</v>
      </c>
      <c r="BO127" s="212">
        <f>IF(A127&lt;intermediates!$B$29,MIN(BM127,BO126+intermediates!$B$33*AN126),MIN(BM127,BO126*intermediates!$B$35,BO126+intermediates!$B$37*AN126))</f>
        <v>20295.515791308051</v>
      </c>
      <c r="BP127" s="214">
        <f t="shared" si="218"/>
        <v>677.57812950411244</v>
      </c>
      <c r="BQ127" s="214">
        <f t="shared" si="219"/>
        <v>0</v>
      </c>
      <c r="BR127" s="212" t="str">
        <f t="shared" si="235"/>
        <v/>
      </c>
      <c r="BS127" s="212">
        <f>BP127*conversions!$C$1*intermediates!$B$42/intermediates!$B$43</f>
        <v>1512.2706984942247</v>
      </c>
      <c r="BT127" s="214">
        <f>MIN(BT126+BS127,intermediates!$B$27*1000)</f>
        <v>0</v>
      </c>
      <c r="BU127" s="219" t="str">
        <f>IF(AND(BT127=intermediates!$B$27*1000,BT126&lt;&gt;intermediates!$B$27*1000),A127,"")</f>
        <v/>
      </c>
      <c r="BV127" s="212">
        <f>BT127*intermediates!$B$43/(conversions!$C$1*intermediates!$B$42)</f>
        <v>0</v>
      </c>
      <c r="BW127" s="214">
        <f t="shared" si="220"/>
        <v>26452.321320730185</v>
      </c>
      <c r="BX127" s="214">
        <f t="shared" si="221"/>
        <v>20295.515791308051</v>
      </c>
      <c r="BY127" s="227">
        <f>IF(OR(BQ127&gt;0,BT127&lt;&gt;intermediates!$B$27*1000),MAX(0,(BX127-BX126)/AM126),0.000000000001)</f>
        <v>9.9999999999999998E-13</v>
      </c>
      <c r="BZ127" s="322">
        <f>BH127*intermediates!$B$49*1000000</f>
        <v>0</v>
      </c>
      <c r="CA127" s="322">
        <f>BI127*conversions!$C$1*1000000*intermediates!$B$50</f>
        <v>0</v>
      </c>
      <c r="CB127" s="322">
        <f>BT127*1000000*intermediates!$B$49</f>
        <v>0</v>
      </c>
      <c r="CC127" s="214">
        <f>BW127*conversions!$C$1*1000000/L127</f>
        <v>27400</v>
      </c>
      <c r="CD127" s="173">
        <f t="shared" si="189"/>
        <v>2071</v>
      </c>
      <c r="CE127" s="173"/>
      <c r="CF127" s="173"/>
      <c r="CG127" s="173"/>
      <c r="CH127" s="173"/>
      <c r="CI127" s="173">
        <f t="shared" si="222"/>
        <v>0</v>
      </c>
      <c r="CJ127" s="173">
        <f t="shared" si="223"/>
        <v>1897.5897864678325</v>
      </c>
      <c r="CK127" s="173">
        <f t="shared" si="224"/>
        <v>2116.1857056584149</v>
      </c>
      <c r="CL127" s="173">
        <f t="shared" si="225"/>
        <v>2143.0300372958864</v>
      </c>
      <c r="CM127" s="173"/>
      <c r="CN127" s="173"/>
      <c r="CO127" s="329">
        <f t="shared" si="169"/>
        <v>20295.515791308051</v>
      </c>
      <c r="CP127" s="174">
        <f t="shared" si="226"/>
        <v>0</v>
      </c>
      <c r="CQ127" s="228">
        <f t="shared" si="227"/>
        <v>10</v>
      </c>
      <c r="CR127" s="228">
        <f t="shared" si="170"/>
        <v>355</v>
      </c>
      <c r="CS127" s="214">
        <f t="shared" ca="1" si="228"/>
        <v>-16.708160251790279</v>
      </c>
      <c r="CT127" s="190">
        <f t="shared" ca="1" si="229"/>
        <v>-1.4834353218216645</v>
      </c>
      <c r="CU127" s="190">
        <f t="shared" ca="1" si="236"/>
        <v>-16.708160251790279</v>
      </c>
      <c r="CV127" s="198">
        <f t="shared" si="174"/>
        <v>3203.9310777670239</v>
      </c>
      <c r="CW127" s="198">
        <f t="shared" ca="1" si="171"/>
        <v>3796.8898451957907</v>
      </c>
      <c r="CX127" s="198">
        <f t="shared" ca="1" si="230"/>
        <v>3420.5582541285835</v>
      </c>
      <c r="CY127" s="198">
        <f t="shared" ca="1" si="173"/>
        <v>-376.33159106720717</v>
      </c>
      <c r="CZ127" s="199">
        <f ca="1">IF(CX127&lt;intermediates!$B$55,intermediates!$B$56+(CX127-intermediates!$B$55)*intermediates!$B$53,intermediates!$B$56+(data!CX127-intermediates!$B$55)*intermediates!$B$58)</f>
        <v>1.8291903006609467</v>
      </c>
      <c r="DG127" s="201">
        <f>IF(A127&gt;MAX(intermediates!B$31,intermediates!$B$32),DG126,DG126+intermediates!$B$60*DG$73)</f>
        <v>19505207416250</v>
      </c>
      <c r="DH127" s="201">
        <f>IF(A127&gt;MAX(intermediates!B$31,intermediates!$B$32),DH126,DH126+intermediates!$B$61*DH$73)</f>
        <v>28534082329375</v>
      </c>
      <c r="DI127" s="201">
        <f>IF(A127&gt;MAX(intermediates!B$31,intermediates!$B$32),DI126,DI126+intermediates!$B$62*DI$73)</f>
        <v>38669431049000</v>
      </c>
      <c r="DJ127" s="221"/>
      <c r="EE127" s="218"/>
      <c r="EF127" s="212">
        <f>$EF$69+intermediates!$B$90*(A127-2013)*intermediates!$B$92+intermediates!$B$91*intermediates!$B$92*(A127-2013)^2</f>
        <v>3114.2093085492188</v>
      </c>
      <c r="EH127" s="212">
        <f>IF(A127&lt;intermediates!$B$29,data!EH126,IF(A127&lt;intermediates!$B$31,data!$EH$69+(intermediates!$B$93-data!$EH$69)*(data!A127-intermediates!$B$29)/(intermediates!$B$31-intermediates!$B$29),intermediates!$B$93))</f>
        <v>2.522212345090466E-2</v>
      </c>
      <c r="EI127" s="212">
        <f t="shared" si="128"/>
        <v>2.522212345090466E-2</v>
      </c>
      <c r="EN127" s="218"/>
      <c r="EO127" s="212">
        <f t="shared" si="129"/>
        <v>3035.6623369170338</v>
      </c>
      <c r="EQ127" s="212">
        <f t="shared" si="130"/>
        <v>78.546971632184977</v>
      </c>
      <c r="ET127" s="214">
        <f>IF(A127&lt;intermediates!$B$29,ET126+intermediates!$B$63,ET126+intermediates!$B$63*intermediates!$B$67)</f>
        <v>1364.335747437912</v>
      </c>
      <c r="EU127" s="215">
        <f t="shared" si="131"/>
        <v>1364.335747437912</v>
      </c>
      <c r="EV127" s="216">
        <f>data!EU127*conversions!$C$13</f>
        <v>1.5867224742702917</v>
      </c>
      <c r="EX127" s="212">
        <f>intermediates!$B$64+intermediates!$B$64*(EXP(-(data!A127-intermediates!$B$66)/intermediates!$B$65)-1)</f>
        <v>7.3968645458888094E-3</v>
      </c>
      <c r="EY127" s="217">
        <f>IF(A127&lt;intermediates!$B$29,data!EX127,data!EY126+(data!EX127-data!EX126)*intermediates!$B$68)</f>
        <v>7.3968645458888094E-3</v>
      </c>
      <c r="EZ127" s="217">
        <f t="shared" si="132"/>
        <v>7.3968645458888094E-3</v>
      </c>
      <c r="FB127" s="212">
        <f>intermediates!$B$94+intermediates!$B$95+(intermediates!$B$95*(EXP(-(data!A127-intermediates!$B$97)/intermediates!$B$96)-1))</f>
        <v>1.5708420359083264</v>
      </c>
      <c r="FC127" s="217">
        <f>IF(A127&lt;intermediates!$B$29,data!FB127,data!FC126+(data!FB127-data!FB126)*intermediates!$B$68)</f>
        <v>1.5708420359083264</v>
      </c>
      <c r="FD127" s="212">
        <f t="shared" si="133"/>
        <v>1.5708420359083264</v>
      </c>
      <c r="FF127" s="184">
        <f>intermediates!$B$98+intermediates!$B$99*EXP(-(A127-intermediates!$B$101)/intermediates!$B$100)</f>
        <v>0.89640297119332846</v>
      </c>
      <c r="FG127" s="184">
        <f t="shared" si="101"/>
        <v>0.89640297119332846</v>
      </c>
      <c r="FI127" s="184">
        <f>intermediates!$B$102+intermediates!$B$103*EXP(-(A127-intermediates!$B$105)/intermediates!$B$104)</f>
        <v>1.5464595962693766E-2</v>
      </c>
      <c r="FJ127" s="184">
        <f t="shared" si="134"/>
        <v>1.5464595962693766E-2</v>
      </c>
      <c r="FL127" s="184">
        <f>intermediates!$B$106</f>
        <v>4.5616870531049965E-2</v>
      </c>
      <c r="FM127" s="184">
        <f t="shared" si="135"/>
        <v>4.5616870531049965E-2</v>
      </c>
      <c r="FN127" s="218">
        <f>IF(A127&lt;intermediates!$B$29,0,IF(A127&lt;intermediates!$B$31,(data!A127-intermediates!$B$29)/(intermediates!$B$31-intermediates!$B$29),1))</f>
        <v>1</v>
      </c>
      <c r="FO127" s="218">
        <f t="shared" si="232"/>
        <v>322910618384626.19</v>
      </c>
      <c r="FP127" s="218">
        <f t="shared" si="177"/>
        <v>360229303964437.25</v>
      </c>
      <c r="FQ127" s="218">
        <f t="shared" si="178"/>
        <v>2664567366884.749</v>
      </c>
      <c r="FR127" s="218">
        <f t="shared" si="179"/>
        <v>565863333233336</v>
      </c>
      <c r="FS127" s="218">
        <f t="shared" si="180"/>
        <v>414753724877.45154</v>
      </c>
      <c r="FT127" s="218">
        <f>intermediates!$B$69*data!EU127/intermediates!$B$71</f>
        <v>3.4726898733496481</v>
      </c>
      <c r="FU127" s="218">
        <f>BC127*conversions!$C$1*1000000</f>
        <v>24688833232681.504</v>
      </c>
      <c r="FV127" s="218">
        <f t="shared" si="184"/>
        <v>7109426448399.6172</v>
      </c>
      <c r="FX127" s="221"/>
      <c r="FY127" s="221"/>
      <c r="FZ127" s="221"/>
      <c r="GA127" s="218">
        <f t="shared" si="190"/>
        <v>1407.8942308782791</v>
      </c>
      <c r="GB127" s="218">
        <f>GA127*1000000*10000*intermediates!$B$71/(intermediates!$B$72*data!EU127)</f>
        <v>5067736690522.0801</v>
      </c>
      <c r="GC127" s="218">
        <f t="shared" si="233"/>
        <v>9147134916953.1543</v>
      </c>
      <c r="GD127" s="218">
        <f t="shared" si="144"/>
        <v>21739051780752.305</v>
      </c>
      <c r="GE127" s="218">
        <f t="shared" si="182"/>
        <v>23153288602761.883</v>
      </c>
      <c r="GF127" s="218">
        <f t="shared" si="183"/>
        <v>358056253449.35498</v>
      </c>
      <c r="GG127" s="218">
        <f t="shared" si="136"/>
        <v>1056180568560.2235</v>
      </c>
      <c r="GH127" s="218">
        <f t="shared" si="191"/>
        <v>9383814648456.9434</v>
      </c>
      <c r="GI127" s="218">
        <f t="shared" si="145"/>
        <v>178073993373.66211</v>
      </c>
      <c r="GJ127" s="218">
        <f>ET127*intermediates!$B$73/intermediates!$B$71</f>
        <v>5.2090348100244723</v>
      </c>
      <c r="GK127" s="218">
        <f>CL127*conversions!$C$1*1000000/data!GJ127</f>
        <v>4799740837529.1465</v>
      </c>
      <c r="GL127" s="218">
        <f>MIN(1,FN127)*(intermediates!$B$75-data!$GL$69)+data!$GL$69</f>
        <v>1</v>
      </c>
      <c r="GM127" s="218">
        <f>GL127*intermediates!$B$74*(FS127+GC127+GK127+GG127+GF127+GB127+FV127)</f>
        <v>4192954416043.6538</v>
      </c>
      <c r="GN127" s="218">
        <f>MIN(1,FN127)*intermediates!$B$76</f>
        <v>0.12</v>
      </c>
      <c r="GO127" s="218">
        <f t="shared" si="137"/>
        <v>3857518062760.1616</v>
      </c>
      <c r="GP127" s="218">
        <f>IF(A127&gt;intermediates!$B$29,MIN(1,(A127-intermediates!$B$29)/(intermediates!$B$31-intermediates!$B$29))*intermediates!$B$77,0)</f>
        <v>0.15</v>
      </c>
      <c r="GQ127" s="218">
        <f>IF(AND(A127&gt;intermediates!$B$29+intermediates!$B$30,data!GP127&lt;intermediates!$B$77),1,0)</f>
        <v>0</v>
      </c>
      <c r="GR127" s="218">
        <f t="shared" si="192"/>
        <v>7205893461843.75</v>
      </c>
      <c r="GS127" s="218">
        <f t="shared" si="193"/>
        <v>45873962747823.344</v>
      </c>
      <c r="GT127" s="218">
        <f t="shared" si="188"/>
        <v>86708720794625</v>
      </c>
      <c r="GU127" s="218">
        <f t="shared" si="194"/>
        <v>45875324510843.75</v>
      </c>
      <c r="GV127" s="218">
        <f t="shared" si="195"/>
        <v>32145983856334.684</v>
      </c>
      <c r="GW127" s="218">
        <f t="shared" si="196"/>
        <v>2165326997801.6563</v>
      </c>
      <c r="GX127" s="218">
        <f>MIN(intermediates!$B$88,FN127*intermediates!$B$87*GO127)</f>
        <v>1928759031380.0808</v>
      </c>
      <c r="GY127" s="218">
        <f t="shared" si="197"/>
        <v>1928759031380.0808</v>
      </c>
      <c r="GZ127" s="218">
        <f>MIN(intermediates!$B$88-GX127,intermediates!$B$87*data!GW127*FN127)</f>
        <v>1082663498900.8281</v>
      </c>
      <c r="HA127" s="218">
        <f t="shared" si="138"/>
        <v>1082663498900.8281</v>
      </c>
      <c r="HB127" s="218">
        <f t="shared" si="139"/>
        <v>3011422530280.9092</v>
      </c>
      <c r="HC127" s="218">
        <f t="shared" si="198"/>
        <v>5675989897165.6582</v>
      </c>
      <c r="HD127" s="218">
        <f>HC127*intermediates!$B$79/(10000*1000000000)</f>
        <v>376.7393137749408</v>
      </c>
      <c r="HE127" s="218">
        <f>(GV127*intermediates!$B$80+GV127*GL127*intermediates!$B$82)/(10000*1000000000)</f>
        <v>1198.5033581427854</v>
      </c>
      <c r="HF127" s="218">
        <f>GU127*intermediates!$B$78/(10000*1000000000)</f>
        <v>4619.6154707550731</v>
      </c>
      <c r="HG127" s="218">
        <f>HB127*intermediates!$B$81/(10000*1000000000)</f>
        <v>756.96173490828016</v>
      </c>
      <c r="HH127" s="218">
        <f t="shared" si="199"/>
        <v>0</v>
      </c>
      <c r="HI127" s="218">
        <f t="shared" si="200"/>
        <v>17.594565077326251</v>
      </c>
      <c r="HJ127" s="218">
        <f t="shared" si="201"/>
        <v>-1.6219071974479675</v>
      </c>
      <c r="HK127" s="218">
        <f ca="1">SUM(HJ127:INDIRECT(ADDRESS(MAX(CELL("row",HJ127)-intermediates!$B$83,69),CELL("col",HJ127))))/intermediates!$B$83+SUM(HH127:INDIRECT(ADDRESS(MAX(CELL("row",HH127)-intermediates!$B$84,69),CELL("col",HH127))))/intermediates!$B$84+SUM(HI127:INDIRECT(ADDRESS(MAX(CELL("row",HI127)-intermediates!$B$85,69),CELL("col",HI127))))/intermediates!$B$85</f>
        <v>6.7081602517902779</v>
      </c>
      <c r="HL127" s="218">
        <f t="shared" ca="1" si="163"/>
        <v>-571.6271763615573</v>
      </c>
      <c r="HM127" s="188">
        <f t="shared" si="202"/>
        <v>2071</v>
      </c>
      <c r="HQ127" s="185">
        <f t="shared" si="203"/>
        <v>958.70584892325599</v>
      </c>
      <c r="HR127" s="185">
        <f t="shared" si="204"/>
        <v>631.21098627953938</v>
      </c>
      <c r="HS127" s="185">
        <f t="shared" si="205"/>
        <v>449.93940057562958</v>
      </c>
      <c r="HT127" s="185">
        <f t="shared" si="206"/>
        <v>426.14536769347274</v>
      </c>
      <c r="HU127" s="185">
        <f t="shared" si="207"/>
        <v>372.2717875464964</v>
      </c>
      <c r="HV127" s="185">
        <f t="shared" si="208"/>
        <v>342.49004454277673</v>
      </c>
      <c r="HW127" s="185">
        <f t="shared" si="209"/>
        <v>639.77581765397747</v>
      </c>
      <c r="HX127" s="185">
        <f t="shared" si="210"/>
        <v>15.810313504745235</v>
      </c>
      <c r="HY127" s="185">
        <f t="shared" si="211"/>
        <v>236.57382320035202</v>
      </c>
      <c r="HZ127" s="185">
        <f t="shared" si="140"/>
        <v>3820.5392532151482</v>
      </c>
      <c r="IA127" s="185">
        <f t="shared" si="141"/>
        <v>4072.9233899202454</v>
      </c>
      <c r="IB127" s="185">
        <f t="shared" si="212"/>
        <v>2613.2301845738384</v>
      </c>
      <c r="IC127" s="185">
        <f t="shared" si="231"/>
        <v>4265.1721176931824</v>
      </c>
      <c r="ID127" s="185">
        <f t="shared" si="213"/>
        <v>3433.268476503119</v>
      </c>
      <c r="IE127" s="184">
        <f t="shared" si="142"/>
        <v>-0.12950716424335837</v>
      </c>
      <c r="IF127" s="184">
        <f t="shared" si="143"/>
        <v>-5.5995832859755762E-2</v>
      </c>
    </row>
    <row r="128" spans="1:240" x14ac:dyDescent="0.3">
      <c r="A128" s="211">
        <v>2072</v>
      </c>
      <c r="E128" s="207">
        <v>8617152.7339999992</v>
      </c>
      <c r="F128" s="207">
        <v>10509150.402000001</v>
      </c>
      <c r="G128" s="207">
        <v>12689962.459000001</v>
      </c>
      <c r="I128" s="207">
        <f t="shared" si="164"/>
        <v>8617152734</v>
      </c>
      <c r="J128" s="207">
        <f t="shared" si="164"/>
        <v>10509150402</v>
      </c>
      <c r="K128" s="207">
        <f t="shared" si="164"/>
        <v>12689962459</v>
      </c>
      <c r="L128" s="187">
        <f>IF(intermediates!$B$4&gt;=2,(intermediates!$B$4-2)*K128+(1-(intermediates!$B$4-2))*J128,(intermediates!$B$4-1)*J128+(1-(intermediates!$B$4-1))*I128)</f>
        <v>11314435878.612484</v>
      </c>
      <c r="AJ128" s="184">
        <f>IF(intermediates!$B$46=0,$AJ$74+(intermediates!$B$15-$AJ$74)*MIN(1,(data!A128-data!$A$74)/(intermediates!$B$32-data!$A$74)),IF(A128&lt;2021,$AJ$74+(intermediates!$B$15-$AJ$74)*MIN(1,(data!A128-data!$A$74)/(intermediates!$B$32-data!$A$74)),intermediates!$B$47+(intermediates!$B$15-intermediates!$B$47)*MIN(1,(data!A128-$A$77)/(intermediates!$B$32-$A$77))))</f>
        <v>27400</v>
      </c>
      <c r="AK128" s="192">
        <f t="shared" si="146"/>
        <v>27400</v>
      </c>
      <c r="AL128" s="192">
        <f t="shared" si="234"/>
        <v>310015543073982.06</v>
      </c>
      <c r="AM128" s="192">
        <f>data!AL128/(1000000*conversions!$C$1)</f>
        <v>26572.760834912751</v>
      </c>
      <c r="AN128" s="192">
        <f>IF(intermediates!$B$13=1,($AJ$74+(27400-$AJ$74)*MIN(1,(data!A128-data!$A$74)/(intermediates!$B$32-data!$A$74)))*L128/(1000000*conversions!$C$1),data!AM128)</f>
        <v>26572.760834912751</v>
      </c>
      <c r="AV128" s="214">
        <f>IF(A128&lt;intermediates!$B$29,0,IF(A128&lt;intermediates!$B$31,(data!A128-intermediates!$B$29)*intermediates!$B$26/(intermediates!$B$31-intermediates!$B$29),intermediates!$B$26))</f>
        <v>10</v>
      </c>
      <c r="AW128" s="212">
        <f>MIN(AW127+intermediates!$B$16,intermediates!$B$17*data!$AW$74)</f>
        <v>1897.5897864678325</v>
      </c>
      <c r="AX128" s="212">
        <f>AV128*1000/conversions!$C$16/intermediates!$B$40</f>
        <v>8187.0584968062822</v>
      </c>
      <c r="AY128" s="212">
        <f>AX128*(1-intermediates!$B$39)*intermediates!$B$28/(conversions!$C$2)</f>
        <v>2143.0300372958864</v>
      </c>
      <c r="AZ128" s="213">
        <f>IF(A128&lt;intermediates!$B$29,0,MIN(intermediates!$B$25,intermediates!$B$25*(A128-intermediates!$B$29)/(intermediates!$B$31-intermediates!$B$29)))</f>
        <v>0</v>
      </c>
      <c r="BA128" s="212">
        <f>IF(A128&lt;intermediates!$B$29,data!$BA$74,IF(intermediates!$B$23&gt;data!$BA$74,MIN(intermediates!$B$23,data!$BA$74+(intermediates!$B$23-data!$BA$74)*((data!A128-intermediates!$B$29)/(intermediates!$B$31-intermediates!$B$29))),MAX(intermediates!$B$23,data!$BA$74+(intermediates!$B$23-data!$BA$74)*((data!A128-intermediates!$B$29)/(intermediates!$B$31-intermediates!$B$29)))))</f>
        <v>0.08</v>
      </c>
      <c r="BB128" s="212">
        <f t="shared" si="214"/>
        <v>2125.8208667930203</v>
      </c>
      <c r="BC128" s="212">
        <f t="shared" si="166"/>
        <v>2125.8208667930203</v>
      </c>
      <c r="BD128" s="212">
        <f t="shared" si="167"/>
        <v>0</v>
      </c>
      <c r="BE128" s="214">
        <f>MAX(0,MIN(1,(data!A128-intermediates!$B$29)/(intermediates!$B$31-intermediates!$B$29)))*((intermediates!$B$38*L128)-$BE$69*1000000000)/1000000000+$BE$69</f>
        <v>1414.3044848265604</v>
      </c>
      <c r="BF128" s="214">
        <f t="shared" si="99"/>
        <v>1414.3044848265604</v>
      </c>
      <c r="BG128" s="214">
        <f t="shared" si="168"/>
        <v>0</v>
      </c>
      <c r="BH128" s="214">
        <f>BD128*conversions!$C$2/conversions!$C$17+BG128*conversions!$C$6/conversions!$C$10</f>
        <v>0</v>
      </c>
      <c r="BI128" s="214">
        <f>BH128*intermediates!$B$41*conversions!$C$11/(conversions!$C$2*conversions!$C$6*intermediates!$B$42)</f>
        <v>0</v>
      </c>
      <c r="BJ128" s="214">
        <f>BH128*intermediates!$B$43/(conversions!$C$1*intermediates!$B$42)</f>
        <v>0</v>
      </c>
      <c r="BK128" s="214">
        <f t="shared" si="215"/>
        <v>0</v>
      </c>
      <c r="BL128" s="214">
        <f t="shared" si="216"/>
        <v>26572.760834912751</v>
      </c>
      <c r="BM128" s="214">
        <f t="shared" si="217"/>
        <v>20406.32014435601</v>
      </c>
      <c r="BN128" s="214">
        <f>IF(A128&lt;intermediates!$B$29,MIN(BO127+intermediates!$B$33*AN127),MIN(BO127*intermediates!$B$35,BO127+intermediates!$B$37*AN127))</f>
        <v>21088.723759087388</v>
      </c>
      <c r="BO128" s="212">
        <f>IF(A128&lt;intermediates!$B$29,MIN(BM128,BO127+intermediates!$B$33*AN127),MIN(BM128,BO127*intermediates!$B$35,BO127+intermediates!$B$37*AN127))</f>
        <v>20406.32014435601</v>
      </c>
      <c r="BP128" s="214">
        <f t="shared" si="218"/>
        <v>682.40361473137818</v>
      </c>
      <c r="BQ128" s="214">
        <f t="shared" si="219"/>
        <v>0</v>
      </c>
      <c r="BR128" s="212" t="str">
        <f t="shared" si="235"/>
        <v/>
      </c>
      <c r="BS128" s="212">
        <f>BP128*conversions!$C$1*intermediates!$B$42/intermediates!$B$43</f>
        <v>1523.0405855337478</v>
      </c>
      <c r="BT128" s="214">
        <f>MIN(BT127+BS128,intermediates!$B$27*1000)</f>
        <v>0</v>
      </c>
      <c r="BU128" s="219" t="str">
        <f>IF(AND(BT128=intermediates!$B$27*1000,BT127&lt;&gt;intermediates!$B$27*1000),A128,"")</f>
        <v/>
      </c>
      <c r="BV128" s="212">
        <f>BT128*intermediates!$B$43/(conversions!$C$1*intermediates!$B$42)</f>
        <v>0</v>
      </c>
      <c r="BW128" s="214">
        <f t="shared" si="220"/>
        <v>26572.760834912751</v>
      </c>
      <c r="BX128" s="214">
        <f t="shared" si="221"/>
        <v>20406.32014435601</v>
      </c>
      <c r="BY128" s="227">
        <f>IF(OR(BQ128&gt;0,BT128&lt;&gt;intermediates!$B$27*1000),MAX(0,(BX128-BX127)/AM127),0.000000000001)</f>
        <v>9.9999999999999998E-13</v>
      </c>
      <c r="BZ128" s="322">
        <f>BH128*intermediates!$B$49*1000000</f>
        <v>0</v>
      </c>
      <c r="CA128" s="322">
        <f>BI128*conversions!$C$1*1000000*intermediates!$B$50</f>
        <v>0</v>
      </c>
      <c r="CB128" s="322">
        <f>BT128*1000000*intermediates!$B$49</f>
        <v>0</v>
      </c>
      <c r="CC128" s="214">
        <f>BW128*conversions!$C$1*1000000/L128</f>
        <v>27400</v>
      </c>
      <c r="CD128" s="173">
        <f t="shared" si="189"/>
        <v>2072</v>
      </c>
      <c r="CE128" s="173"/>
      <c r="CF128" s="173"/>
      <c r="CG128" s="173"/>
      <c r="CH128" s="173"/>
      <c r="CI128" s="173">
        <f t="shared" si="222"/>
        <v>0</v>
      </c>
      <c r="CJ128" s="173">
        <f t="shared" si="223"/>
        <v>1897.5897864678325</v>
      </c>
      <c r="CK128" s="173">
        <f t="shared" si="224"/>
        <v>2125.8208667930203</v>
      </c>
      <c r="CL128" s="173">
        <f t="shared" si="225"/>
        <v>2143.0300372958864</v>
      </c>
      <c r="CM128" s="173"/>
      <c r="CN128" s="173"/>
      <c r="CO128" s="329">
        <f t="shared" si="169"/>
        <v>20406.32014435601</v>
      </c>
      <c r="CP128" s="174">
        <f t="shared" si="226"/>
        <v>0</v>
      </c>
      <c r="CQ128" s="228">
        <f t="shared" si="227"/>
        <v>10</v>
      </c>
      <c r="CR128" s="228">
        <f t="shared" si="170"/>
        <v>365</v>
      </c>
      <c r="CS128" s="214">
        <f t="shared" ca="1" si="228"/>
        <v>-18.122132435735054</v>
      </c>
      <c r="CT128" s="190">
        <f t="shared" ca="1" si="229"/>
        <v>-1.6016823666826432</v>
      </c>
      <c r="CU128" s="190">
        <f t="shared" ca="1" si="236"/>
        <v>-18.122132435735054</v>
      </c>
      <c r="CV128" s="198">
        <f t="shared" si="174"/>
        <v>3203.9310777670239</v>
      </c>
      <c r="CW128" s="198">
        <f t="shared" ca="1" si="171"/>
        <v>3796.8898451957907</v>
      </c>
      <c r="CX128" s="198">
        <f t="shared" ca="1" si="230"/>
        <v>3402.4361216928482</v>
      </c>
      <c r="CY128" s="198">
        <f t="shared" ca="1" si="173"/>
        <v>-394.45372350294224</v>
      </c>
      <c r="CZ128" s="199">
        <f ca="1">IF(CX128&lt;intermediates!$B$55,intermediates!$B$56+(CX128-intermediates!$B$55)*intermediates!$B$53,intermediates!$B$56+(data!CX128-intermediates!$B$55)*intermediates!$B$58)</f>
        <v>1.8193354905205965</v>
      </c>
      <c r="DG128" s="201">
        <f>IF(A128&gt;MAX(intermediates!B$31,intermediates!$B$32),DG127,DG127+intermediates!$B$60*DG$73)</f>
        <v>19505207416250</v>
      </c>
      <c r="DH128" s="201">
        <f>IF(A128&gt;MAX(intermediates!B$31,intermediates!$B$32),DH127,DH127+intermediates!$B$61*DH$73)</f>
        <v>28534082329375</v>
      </c>
      <c r="DI128" s="201">
        <f>IF(A128&gt;MAX(intermediates!B$31,intermediates!$B$32),DI127,DI127+intermediates!$B$62*DI$73)</f>
        <v>38669431049000</v>
      </c>
      <c r="DJ128" s="221"/>
      <c r="EE128" s="218"/>
      <c r="EF128" s="212">
        <f>$EF$69+intermediates!$B$90*(A128-2013)*intermediates!$B$92+intermediates!$B$91*intermediates!$B$92*(A128-2013)^2</f>
        <v>3117.4185985492186</v>
      </c>
      <c r="EH128" s="212">
        <f>IF(A128&lt;intermediates!$B$29,data!EH127,IF(A128&lt;intermediates!$B$31,data!$EH$69+(intermediates!$B$93-data!$EH$69)*(data!A128-intermediates!$B$29)/(intermediates!$B$31-intermediates!$B$29),intermediates!$B$93))</f>
        <v>2.522212345090466E-2</v>
      </c>
      <c r="EI128" s="212">
        <f t="shared" si="128"/>
        <v>2.522212345090466E-2</v>
      </c>
      <c r="EN128" s="218"/>
      <c r="EO128" s="212">
        <f t="shared" si="129"/>
        <v>3038.7906818084639</v>
      </c>
      <c r="EQ128" s="212">
        <f t="shared" si="130"/>
        <v>78.627916740754699</v>
      </c>
      <c r="ET128" s="214">
        <f>IF(A128&lt;intermediates!$B$29,ET127+intermediates!$B$63,ET127+intermediates!$B$63*intermediates!$B$67)</f>
        <v>1374.3113368293548</v>
      </c>
      <c r="EU128" s="215">
        <f t="shared" si="131"/>
        <v>1374.3113368293548</v>
      </c>
      <c r="EV128" s="216">
        <f>data!EU128*conversions!$C$13</f>
        <v>1.5983240847325395</v>
      </c>
      <c r="EX128" s="212">
        <f>intermediates!$B$64+intermediates!$B$64*(EXP(-(data!A128-intermediates!$B$66)/intermediates!$B$65)-1)</f>
        <v>7.259353235413827E-3</v>
      </c>
      <c r="EY128" s="217">
        <f>IF(A128&lt;intermediates!$B$29,data!EX128,data!EY127+(data!EX128-data!EX127)*intermediates!$B$68)</f>
        <v>7.259353235413827E-3</v>
      </c>
      <c r="EZ128" s="217">
        <f t="shared" si="132"/>
        <v>7.259353235413827E-3</v>
      </c>
      <c r="FB128" s="212">
        <f>intermediates!$B$94+intermediates!$B$95+(intermediates!$B$95*(EXP(-(data!A128-intermediates!$B$97)/intermediates!$B$96)-1))</f>
        <v>1.5689101411079356</v>
      </c>
      <c r="FC128" s="217">
        <f>IF(A128&lt;intermediates!$B$29,data!FB128,data!FC127+(data!FB128-data!FB127)*intermediates!$B$68)</f>
        <v>1.5689101411079356</v>
      </c>
      <c r="FD128" s="212">
        <f t="shared" si="133"/>
        <v>1.5689101411079356</v>
      </c>
      <c r="FF128" s="184">
        <f>intermediates!$B$98+intermediates!$B$99*EXP(-(A128-intermediates!$B$101)/intermediates!$B$100)</f>
        <v>0.8967004843871208</v>
      </c>
      <c r="FG128" s="184">
        <f t="shared" si="101"/>
        <v>0.8967004843871208</v>
      </c>
      <c r="FI128" s="184">
        <f>intermediates!$B$102+intermediates!$B$103*EXP(-(A128-intermediates!$B$105)/intermediates!$B$104)</f>
        <v>1.5389508697065592E-2</v>
      </c>
      <c r="FJ128" s="184">
        <f t="shared" si="134"/>
        <v>1.5389508697065592E-2</v>
      </c>
      <c r="FL128" s="184">
        <f>intermediates!$B$106</f>
        <v>4.5616870531049965E-2</v>
      </c>
      <c r="FM128" s="184">
        <f t="shared" si="135"/>
        <v>4.5616870531049965E-2</v>
      </c>
      <c r="FN128" s="218">
        <f>IF(A128&lt;intermediates!$B$29,0,IF(A128&lt;intermediates!$B$31,(data!A128-intermediates!$B$29)/(intermediates!$B$31-intermediates!$B$29),1))</f>
        <v>1</v>
      </c>
      <c r="FO128" s="218">
        <f t="shared" si="232"/>
        <v>324715140614734.81</v>
      </c>
      <c r="FP128" s="218">
        <f t="shared" si="177"/>
        <v>362122187138854.94</v>
      </c>
      <c r="FQ128" s="218">
        <f t="shared" si="178"/>
        <v>2628772870821.5781</v>
      </c>
      <c r="FR128" s="218">
        <f t="shared" si="179"/>
        <v>568137171722335.13</v>
      </c>
      <c r="FS128" s="218">
        <f t="shared" si="180"/>
        <v>413397718913.58521</v>
      </c>
      <c r="FT128" s="218">
        <f>intermediates!$B$69*data!EU128/intermediates!$B$71</f>
        <v>3.4980810780625733</v>
      </c>
      <c r="FU128" s="218">
        <f>BC128*conversions!$C$1*1000000</f>
        <v>24801243445918.566</v>
      </c>
      <c r="FV128" s="218">
        <f t="shared" si="184"/>
        <v>7089956719829.6152</v>
      </c>
      <c r="FX128" s="221"/>
      <c r="FY128" s="221"/>
      <c r="FZ128" s="221"/>
      <c r="GA128" s="218">
        <f t="shared" si="190"/>
        <v>1414.3044848265604</v>
      </c>
      <c r="GB128" s="218">
        <f>GA128*1000000*10000*intermediates!$B$71/(intermediates!$B$72*data!EU128)</f>
        <v>5053858291393.1445</v>
      </c>
      <c r="GC128" s="218">
        <f t="shared" si="233"/>
        <v>9131485355397.5957</v>
      </c>
      <c r="GD128" s="218">
        <f t="shared" si="144"/>
        <v>21688698085533.941</v>
      </c>
      <c r="GE128" s="218">
        <f t="shared" si="182"/>
        <v>23097811961390.219</v>
      </c>
      <c r="GF128" s="218">
        <f t="shared" si="183"/>
        <v>355463978063.00043</v>
      </c>
      <c r="GG128" s="218">
        <f t="shared" si="136"/>
        <v>1053649897793.2749</v>
      </c>
      <c r="GH128" s="218">
        <f t="shared" si="191"/>
        <v>9367760158575.6563</v>
      </c>
      <c r="GI128" s="218">
        <f>GC128+FS128-GH128</f>
        <v>177122915735.52539</v>
      </c>
      <c r="GJ128" s="218">
        <f>ET128*intermediates!$B$73/intermediates!$B$71</f>
        <v>5.2471216170938604</v>
      </c>
      <c r="GK128" s="218">
        <f>CL128*conversions!$C$1*1000000/data!GJ128</f>
        <v>4764901392857.9014</v>
      </c>
      <c r="GL128" s="218">
        <f>MIN(1,FN128)*(intermediates!$B$75-data!$GL$69)+data!$GL$69</f>
        <v>1</v>
      </c>
      <c r="GM128" s="218">
        <f>GL128*intermediates!$B$74*(FS128+GC128+GK128+GG128+GF128+GB128+FV128)</f>
        <v>4179407003137.2173</v>
      </c>
      <c r="GN128" s="218">
        <f>MIN(1,FN128)*intermediates!$B$76</f>
        <v>0.12</v>
      </c>
      <c r="GO128" s="218">
        <f t="shared" si="137"/>
        <v>3845054442886.2402</v>
      </c>
      <c r="GP128" s="218">
        <f>IF(A128&gt;intermediates!$B$29,MIN(1,(A128-intermediates!$B$29)/(intermediates!$B$31-intermediates!$B$29))*intermediates!$B$77,0)</f>
        <v>0.15</v>
      </c>
      <c r="GQ128" s="218">
        <f>IF(AND(A128&gt;intermediates!$B$29+intermediates!$B$30,data!GP128&lt;intermediates!$B$77),1,0)</f>
        <v>0</v>
      </c>
      <c r="GR128" s="218">
        <f t="shared" si="192"/>
        <v>7205893461843.75</v>
      </c>
      <c r="GS128" s="218">
        <f t="shared" si="193"/>
        <v>45721841132936.898</v>
      </c>
      <c r="GT128" s="218">
        <f t="shared" si="188"/>
        <v>86708720794625</v>
      </c>
      <c r="GU128" s="218">
        <f t="shared" si="194"/>
        <v>45875324510843.75</v>
      </c>
      <c r="GV128" s="218">
        <f t="shared" si="195"/>
        <v>32042120357385.332</v>
      </c>
      <c r="GW128" s="218">
        <f t="shared" si="196"/>
        <v>2317448612688.1016</v>
      </c>
      <c r="GX128" s="218">
        <f>MIN(intermediates!$B$88,FN128*intermediates!$B$87*GO128)</f>
        <v>1922527221443.1201</v>
      </c>
      <c r="GY128" s="218">
        <f t="shared" si="197"/>
        <v>1922527221443.1201</v>
      </c>
      <c r="GZ128" s="218">
        <f>MIN(intermediates!$B$88-GX128,intermediates!$B$87*data!GW128*FN128)</f>
        <v>1158724306344.0508</v>
      </c>
      <c r="HA128" s="218">
        <f t="shared" si="138"/>
        <v>1158724306344.0508</v>
      </c>
      <c r="HB128" s="218">
        <f t="shared" si="139"/>
        <v>3081251527787.1709</v>
      </c>
      <c r="HC128" s="218">
        <f t="shared" si="198"/>
        <v>5710024398608.749</v>
      </c>
      <c r="HD128" s="218">
        <f>HC128*intermediates!$B$79/(10000*1000000000)</f>
        <v>378.99832673138474</v>
      </c>
      <c r="HE128" s="218">
        <f>(GV128*intermediates!$B$80+GV128*GL128*intermediates!$B$82)/(10000*1000000000)</f>
        <v>1194.6310003130925</v>
      </c>
      <c r="HF128" s="218">
        <f>GU128*intermediates!$B$78/(10000*1000000000)</f>
        <v>4619.6154707550731</v>
      </c>
      <c r="HG128" s="218">
        <f>HB128*intermediates!$B$81/(10000*1000000000)</f>
        <v>774.51419676567195</v>
      </c>
      <c r="HH128" s="218">
        <f t="shared" si="199"/>
        <v>0</v>
      </c>
      <c r="HI128" s="218">
        <f t="shared" si="200"/>
        <v>17.552461857391791</v>
      </c>
      <c r="HJ128" s="218">
        <f t="shared" si="201"/>
        <v>-1.6133448732489342</v>
      </c>
      <c r="HK128" s="218">
        <f ca="1">SUM(HJ128:INDIRECT(ADDRESS(MAX(CELL("row",HJ128)-intermediates!$B$83,69),CELL("col",HJ128))))/intermediates!$B$83+SUM(HH128:INDIRECT(ADDRESS(MAX(CELL("row",HH128)-intermediates!$B$84,69),CELL("col",HH128))))/intermediates!$B$84+SUM(HI128:INDIRECT(ADDRESS(MAX(CELL("row",HI128)-intermediates!$B$85,69),CELL("col",HI128))))/intermediates!$B$85</f>
        <v>8.1221324357350539</v>
      </c>
      <c r="HL128" s="218">
        <f t="shared" ca="1" si="163"/>
        <v>-563.50504392582229</v>
      </c>
      <c r="HM128" s="188">
        <f t="shared" si="202"/>
        <v>2072</v>
      </c>
      <c r="HQ128" s="185">
        <f t="shared" si="203"/>
        <v>952.48885141532355</v>
      </c>
      <c r="HR128" s="185">
        <f t="shared" si="204"/>
        <v>626.62927218772427</v>
      </c>
      <c r="HS128" s="185">
        <f t="shared" si="205"/>
        <v>446.67346614658715</v>
      </c>
      <c r="HT128" s="185">
        <f t="shared" si="206"/>
        <v>421.13468527979609</v>
      </c>
      <c r="HU128" s="185">
        <f t="shared" si="207"/>
        <v>369.38713056277868</v>
      </c>
      <c r="HV128" s="185">
        <f t="shared" si="208"/>
        <v>339.83616011775644</v>
      </c>
      <c r="HW128" s="185">
        <f t="shared" si="209"/>
        <v>636.87607046012317</v>
      </c>
      <c r="HX128" s="185">
        <f t="shared" si="210"/>
        <v>15.654595389093883</v>
      </c>
      <c r="HY128" s="185">
        <f t="shared" si="211"/>
        <v>232.33795295006354</v>
      </c>
      <c r="HZ128" s="185">
        <f t="shared" si="140"/>
        <v>3793.025636170089</v>
      </c>
      <c r="IA128" s="185">
        <f t="shared" si="141"/>
        <v>4041.0181845092466</v>
      </c>
      <c r="IB128" s="185">
        <f t="shared" si="212"/>
        <v>2613.2301845738384</v>
      </c>
      <c r="IC128" s="185">
        <f t="shared" si="231"/>
        <v>4245.8404697341548</v>
      </c>
      <c r="ID128" s="185">
        <f t="shared" si="213"/>
        <v>3417.7073840770331</v>
      </c>
      <c r="IE128" s="184">
        <f t="shared" si="142"/>
        <v>-0.13249081406843449</v>
      </c>
      <c r="IF128" s="184">
        <f t="shared" si="143"/>
        <v>-5.9929731310283424E-2</v>
      </c>
    </row>
    <row r="129" spans="1:240" x14ac:dyDescent="0.3">
      <c r="A129" s="184">
        <v>2073</v>
      </c>
      <c r="E129" s="207">
        <v>8585888.227</v>
      </c>
      <c r="F129" s="207">
        <v>10532742.861</v>
      </c>
      <c r="G129" s="207">
        <v>12787168.961999999</v>
      </c>
      <c r="I129" s="207">
        <f t="shared" si="164"/>
        <v>8585888227</v>
      </c>
      <c r="J129" s="207">
        <f t="shared" si="164"/>
        <v>10532742861</v>
      </c>
      <c r="K129" s="207">
        <f t="shared" si="164"/>
        <v>12787168962</v>
      </c>
      <c r="L129" s="187">
        <f>IF(intermediates!$B$4&gt;=2,(intermediates!$B$4-2)*K129+(1-(intermediates!$B$4-2))*J129,(intermediates!$B$4-1)*J129+(1-(intermediates!$B$4-1))*I129)</f>
        <v>11365211019.548618</v>
      </c>
      <c r="AJ129" s="184">
        <f>IF(intermediates!$B$46=0,$AJ$74+(intermediates!$B$15-$AJ$74)*MIN(1,(data!A129-data!$A$74)/(intermediates!$B$32-data!$A$74)),IF(A129&lt;2021,$AJ$74+(intermediates!$B$15-$AJ$74)*MIN(1,(data!A129-data!$A$74)/(intermediates!$B$32-data!$A$74)),intermediates!$B$47+(intermediates!$B$15-intermediates!$B$47)*MIN(1,(data!A129-$A$77)/(intermediates!$B$32-$A$77))))</f>
        <v>27400</v>
      </c>
      <c r="AK129" s="192">
        <f t="shared" si="146"/>
        <v>27400</v>
      </c>
      <c r="AL129" s="192">
        <f t="shared" si="234"/>
        <v>311406781935632.13</v>
      </c>
      <c r="AM129" s="192">
        <f>data!AL129/(1000000*conversions!$C$1)</f>
        <v>26692.009880197042</v>
      </c>
      <c r="AN129" s="192">
        <f>IF(intermediates!$B$13=1,($AJ$74+(27400-$AJ$74)*MIN(1,(data!A129-data!$A$74)/(intermediates!$B$32-data!$A$74)))*L129/(1000000*conversions!$C$1),data!AM129)</f>
        <v>26692.009880197042</v>
      </c>
      <c r="AV129" s="214">
        <f>IF(A129&lt;intermediates!$B$29,0,IF(A129&lt;intermediates!$B$31,(data!A129-intermediates!$B$29)*intermediates!$B$26/(intermediates!$B$31-intermediates!$B$29),intermediates!$B$26))</f>
        <v>10</v>
      </c>
      <c r="AW129" s="212">
        <f>MIN(AW128+intermediates!$B$16,intermediates!$B$17*data!$AW$74)</f>
        <v>1897.5897864678325</v>
      </c>
      <c r="AX129" s="212">
        <f>AV129*1000/conversions!$C$16/intermediates!$B$40</f>
        <v>8187.0584968062822</v>
      </c>
      <c r="AY129" s="212">
        <f>AX129*(1-intermediates!$B$39)*intermediates!$B$28/(conversions!$C$2)</f>
        <v>2143.0300372958864</v>
      </c>
      <c r="AZ129" s="213">
        <f>IF(A129&lt;intermediates!$B$29,0,MIN(intermediates!$B$25,intermediates!$B$25*(A129-intermediates!$B$29)/(intermediates!$B$31-intermediates!$B$29)))</f>
        <v>0</v>
      </c>
      <c r="BA129" s="212">
        <f>IF(A129&lt;intermediates!$B$29,data!$BA$74,IF(intermediates!$B$23&gt;data!$BA$74,MIN(intermediates!$B$23,data!$BA$74+(intermediates!$B$23-data!$BA$74)*((data!A129-intermediates!$B$29)/(intermediates!$B$31-intermediates!$B$29))),MAX(intermediates!$B$23,data!$BA$74+(intermediates!$B$23-data!$BA$74)*((data!A129-intermediates!$B$29)/(intermediates!$B$31-intermediates!$B$29)))))</f>
        <v>0.08</v>
      </c>
      <c r="BB129" s="212">
        <f t="shared" si="214"/>
        <v>2135.3607904157634</v>
      </c>
      <c r="BC129" s="212">
        <f t="shared" si="166"/>
        <v>2135.3607904157634</v>
      </c>
      <c r="BD129" s="212">
        <f t="shared" si="167"/>
        <v>0</v>
      </c>
      <c r="BE129" s="214">
        <f>MAX(0,MIN(1,(data!A129-intermediates!$B$29)/(intermediates!$B$31-intermediates!$B$29)))*((intermediates!$B$38*L129)-$BE$69*1000000000)/1000000000+$BE$69</f>
        <v>1420.6513774435773</v>
      </c>
      <c r="BF129" s="214">
        <f t="shared" si="99"/>
        <v>1420.6513774435773</v>
      </c>
      <c r="BG129" s="214">
        <f t="shared" si="168"/>
        <v>0</v>
      </c>
      <c r="BH129" s="214">
        <f>BD129*conversions!$C$2/conversions!$C$17+BG129*conversions!$C$6/conversions!$C$10</f>
        <v>0</v>
      </c>
      <c r="BI129" s="214">
        <f>BH129*intermediates!$B$41*conversions!$C$11/(conversions!$C$2*conversions!$C$6*intermediates!$B$42)</f>
        <v>0</v>
      </c>
      <c r="BJ129" s="214">
        <f>BH129*intermediates!$B$43/(conversions!$C$1*intermediates!$B$42)</f>
        <v>0</v>
      </c>
      <c r="BK129" s="214">
        <f t="shared" si="215"/>
        <v>0</v>
      </c>
      <c r="BL129" s="214">
        <f t="shared" si="216"/>
        <v>26692.009880197042</v>
      </c>
      <c r="BM129" s="214">
        <f t="shared" si="217"/>
        <v>20516.029266017558</v>
      </c>
      <c r="BN129" s="214">
        <f>IF(A129&lt;intermediates!$B$29,MIN(BO128+intermediates!$B$33*AN128),MIN(BO128*intermediates!$B$35,BO128+intermediates!$B$37*AN128))</f>
        <v>21203.139650840276</v>
      </c>
      <c r="BO129" s="212">
        <f>IF(A129&lt;intermediates!$B$29,MIN(BM129,BO128+intermediates!$B$33*AN128),MIN(BM129,BO128*intermediates!$B$35,BO128+intermediates!$B$37*AN128))</f>
        <v>20516.029266017558</v>
      </c>
      <c r="BP129" s="214">
        <f t="shared" si="218"/>
        <v>687.11038482271761</v>
      </c>
      <c r="BQ129" s="214">
        <f t="shared" si="219"/>
        <v>0</v>
      </c>
      <c r="BR129" s="212" t="str">
        <f t="shared" si="235"/>
        <v/>
      </c>
      <c r="BS129" s="212">
        <f>BP129*conversions!$C$1*intermediates!$B$42/intermediates!$B$43</f>
        <v>1533.5455150521943</v>
      </c>
      <c r="BT129" s="214">
        <f>MIN(BT128+BS129,intermediates!$B$27*1000)</f>
        <v>0</v>
      </c>
      <c r="BU129" s="219" t="str">
        <f>IF(AND(BT129=intermediates!$B$27*1000,BT128&lt;&gt;intermediates!$B$27*1000),A129,"")</f>
        <v/>
      </c>
      <c r="BV129" s="212">
        <f>BT129*intermediates!$B$43/(conversions!$C$1*intermediates!$B$42)</f>
        <v>0</v>
      </c>
      <c r="BW129" s="214">
        <f t="shared" si="220"/>
        <v>26692.009880197042</v>
      </c>
      <c r="BX129" s="214">
        <f t="shared" si="221"/>
        <v>20516.029266017558</v>
      </c>
      <c r="BY129" s="227">
        <f>IF(OR(BQ129&gt;0,BT129&lt;&gt;intermediates!$B$27*1000),MAX(0,(BX129-BX128)/AM128),0.000000000001)</f>
        <v>9.9999999999999998E-13</v>
      </c>
      <c r="BZ129" s="322">
        <f>BH129*intermediates!$B$49*1000000</f>
        <v>0</v>
      </c>
      <c r="CA129" s="322">
        <f>BI129*conversions!$C$1*1000000*intermediates!$B$50</f>
        <v>0</v>
      </c>
      <c r="CB129" s="322">
        <f>BT129*1000000*intermediates!$B$49</f>
        <v>0</v>
      </c>
      <c r="CC129" s="214">
        <f>BW129*conversions!$C$1*1000000/L129</f>
        <v>27400</v>
      </c>
      <c r="CD129" s="173">
        <f t="shared" si="189"/>
        <v>2073</v>
      </c>
      <c r="CE129" s="173"/>
      <c r="CF129" s="173"/>
      <c r="CG129" s="173"/>
      <c r="CH129" s="173"/>
      <c r="CI129" s="173">
        <f t="shared" si="222"/>
        <v>0</v>
      </c>
      <c r="CJ129" s="173">
        <f t="shared" si="223"/>
        <v>1897.5897864678325</v>
      </c>
      <c r="CK129" s="173">
        <f t="shared" si="224"/>
        <v>2135.3607904157634</v>
      </c>
      <c r="CL129" s="173">
        <f t="shared" si="225"/>
        <v>2143.0300372958864</v>
      </c>
      <c r="CM129" s="173"/>
      <c r="CN129" s="173"/>
      <c r="CO129" s="329">
        <f t="shared" si="169"/>
        <v>20516.029266017558</v>
      </c>
      <c r="CP129" s="174">
        <f t="shared" si="226"/>
        <v>0</v>
      </c>
      <c r="CQ129" s="228">
        <f t="shared" si="227"/>
        <v>10</v>
      </c>
      <c r="CR129" s="228">
        <f t="shared" si="170"/>
        <v>375</v>
      </c>
      <c r="CS129" s="214">
        <f t="shared" ca="1" si="228"/>
        <v>-19.499530788525792</v>
      </c>
      <c r="CT129" s="190">
        <f t="shared" ca="1" si="229"/>
        <v>-1.7157209624164318</v>
      </c>
      <c r="CU129" s="190">
        <f t="shared" ca="1" si="236"/>
        <v>-19.499530788525792</v>
      </c>
      <c r="CV129" s="198">
        <f t="shared" si="174"/>
        <v>3203.9310777670239</v>
      </c>
      <c r="CW129" s="198">
        <f t="shared" ca="1" si="171"/>
        <v>3796.8898451957907</v>
      </c>
      <c r="CX129" s="198">
        <f t="shared" ca="1" si="230"/>
        <v>3382.9365909043227</v>
      </c>
      <c r="CY129" s="198">
        <f t="shared" ca="1" si="173"/>
        <v>-413.95325429146806</v>
      </c>
      <c r="CZ129" s="199">
        <f ca="1">IF(CX129&lt;intermediates!$B$55,intermediates!$B$56+(CX129-intermediates!$B$55)*intermediates!$B$53,intermediates!$B$56+(data!CX129-intermediates!$B$55)*intermediates!$B$58)</f>
        <v>1.8087316515723775</v>
      </c>
      <c r="DG129" s="201">
        <f>IF(A129&gt;MAX(intermediates!B$31,intermediates!$B$32),DG128,DG128+intermediates!$B$60*DG$73)</f>
        <v>19505207416250</v>
      </c>
      <c r="DH129" s="201">
        <f>IF(A129&gt;MAX(intermediates!B$31,intermediates!$B$32),DH128,DH128+intermediates!$B$61*DH$73)</f>
        <v>28534082329375</v>
      </c>
      <c r="DI129" s="201">
        <f>IF(A129&gt;MAX(intermediates!B$31,intermediates!$B$32),DI128,DI128+intermediates!$B$62*DI$73)</f>
        <v>38669431049000</v>
      </c>
      <c r="DJ129" s="221"/>
      <c r="EE129" s="218"/>
      <c r="EF129" s="212">
        <f>$EF$69+intermediates!$B$90*(A129-2013)*intermediates!$B$92+intermediates!$B$91*intermediates!$B$92*(A129-2013)^2</f>
        <v>3120.5464885492188</v>
      </c>
      <c r="EH129" s="212">
        <f>IF(A129&lt;intermediates!$B$29,data!EH128,IF(A129&lt;intermediates!$B$31,data!$EH$69+(intermediates!$B$93-data!$EH$69)*(data!A129-intermediates!$B$29)/(intermediates!$B$31-intermediates!$B$29),intermediates!$B$93))</f>
        <v>2.522212345090466E-2</v>
      </c>
      <c r="EI129" s="212">
        <f t="shared" si="128"/>
        <v>2.522212345090466E-2</v>
      </c>
      <c r="EN129" s="218"/>
      <c r="EO129" s="212">
        <f t="shared" si="129"/>
        <v>3041.8396797807432</v>
      </c>
      <c r="EQ129" s="212">
        <f t="shared" si="130"/>
        <v>78.706808768475639</v>
      </c>
      <c r="ET129" s="214">
        <f>IF(A129&lt;intermediates!$B$29,ET128+intermediates!$B$63,ET128+intermediates!$B$63*intermediates!$B$67)</f>
        <v>1384.2869262207976</v>
      </c>
      <c r="EU129" s="215">
        <f t="shared" si="131"/>
        <v>1384.2869262207976</v>
      </c>
      <c r="EV129" s="216">
        <f>data!EU129*conversions!$C$13</f>
        <v>1.6099256951947876</v>
      </c>
      <c r="EX129" s="212">
        <f>intermediates!$B$64+intermediates!$B$64*(EXP(-(data!A129-intermediates!$B$66)/intermediates!$B$65)-1)</f>
        <v>7.1243983270996847E-3</v>
      </c>
      <c r="EY129" s="217">
        <f>IF(A129&lt;intermediates!$B$29,data!EX129,data!EY128+(data!EX129-data!EX128)*intermediates!$B$68)</f>
        <v>7.1243983270996847E-3</v>
      </c>
      <c r="EZ129" s="217">
        <f t="shared" si="132"/>
        <v>7.1243983270996847E-3</v>
      </c>
      <c r="FB129" s="212">
        <f>intermediates!$B$94+intermediates!$B$95+(intermediates!$B$95*(EXP(-(data!A129-intermediates!$B$97)/intermediates!$B$96)-1))</f>
        <v>1.5670309299645278</v>
      </c>
      <c r="FC129" s="217">
        <f>IF(A129&lt;intermediates!$B$29,data!FB129,data!FC128+(data!FB129-data!FB128)*intermediates!$B$68)</f>
        <v>1.5670309299645278</v>
      </c>
      <c r="FD129" s="212">
        <f t="shared" si="133"/>
        <v>1.5670309299645278</v>
      </c>
      <c r="FF129" s="184">
        <f>intermediates!$B$98+intermediates!$B$99*EXP(-(A129-intermediates!$B$101)/intermediates!$B$100)</f>
        <v>0.89699148776897275</v>
      </c>
      <c r="FG129" s="184">
        <f t="shared" si="101"/>
        <v>0.89699148776897275</v>
      </c>
      <c r="FI129" s="184">
        <f>intermediates!$B$102+intermediates!$B$103*EXP(-(A129-intermediates!$B$105)/intermediates!$B$104)</f>
        <v>1.5316389631327714E-2</v>
      </c>
      <c r="FJ129" s="184">
        <f t="shared" si="134"/>
        <v>1.5316389631327714E-2</v>
      </c>
      <c r="FL129" s="184">
        <f>intermediates!$B$106</f>
        <v>4.5616870531049965E-2</v>
      </c>
      <c r="FM129" s="184">
        <f t="shared" si="135"/>
        <v>4.5616870531049965E-2</v>
      </c>
      <c r="FN129" s="218">
        <f>IF(A129&lt;intermediates!$B$29,0,IF(A129&lt;intermediates!$B$31,(data!A129-intermediates!$B$29)/(intermediates!$B$31-intermediates!$B$29),1))</f>
        <v>1</v>
      </c>
      <c r="FO129" s="218">
        <f t="shared" si="232"/>
        <v>326499613970079.56</v>
      </c>
      <c r="FP129" s="218">
        <f t="shared" si="177"/>
        <v>363994105208467.81</v>
      </c>
      <c r="FQ129" s="218">
        <f t="shared" si="178"/>
        <v>2593238994221.3545</v>
      </c>
      <c r="FR129" s="218">
        <f t="shared" si="179"/>
        <v>570390021186431.5</v>
      </c>
      <c r="FS129" s="218">
        <f t="shared" si="180"/>
        <v>412046094189.18451</v>
      </c>
      <c r="FT129" s="218">
        <f>intermediates!$B$69*data!EU129/intermediates!$B$71</f>
        <v>3.5234722827754981</v>
      </c>
      <c r="FU129" s="218">
        <f>BC129*conversions!$C$1*1000000</f>
        <v>24912542554850.57</v>
      </c>
      <c r="FV129" s="218">
        <f t="shared" si="184"/>
        <v>7070452257176.9863</v>
      </c>
      <c r="FX129" s="221"/>
      <c r="FY129" s="221"/>
      <c r="FZ129" s="221"/>
      <c r="GA129" s="218">
        <f t="shared" si="190"/>
        <v>1420.6513774435773</v>
      </c>
      <c r="GB129" s="218">
        <f>GA129*1000000*10000*intermediates!$B$71/(intermediates!$B$72*data!EU129)</f>
        <v>5039955133138.249</v>
      </c>
      <c r="GC129" s="218">
        <f t="shared" si="233"/>
        <v>9115501602760.2109</v>
      </c>
      <c r="GD129" s="218">
        <f t="shared" si="144"/>
        <v>21637955087264.629</v>
      </c>
      <c r="GE129" s="218">
        <f t="shared" si="182"/>
        <v>23041977922683.25</v>
      </c>
      <c r="GF129" s="218">
        <f t="shared" si="183"/>
        <v>352919911740.26782</v>
      </c>
      <c r="GG129" s="218">
        <f t="shared" si="136"/>
        <v>1051102923678.3534</v>
      </c>
      <c r="GH129" s="218">
        <f t="shared" si="191"/>
        <v>9351362830505.4199</v>
      </c>
      <c r="GI129" s="218">
        <f t="shared" si="145"/>
        <v>176184866443.97461</v>
      </c>
      <c r="GJ129" s="218">
        <f>ET129*intermediates!$B$73/intermediates!$B$71</f>
        <v>5.2852084241632467</v>
      </c>
      <c r="GK129" s="218">
        <f>CL129*conversions!$C$1*1000000/data!GJ129</f>
        <v>4730564075293.5215</v>
      </c>
      <c r="GL129" s="218">
        <f>MIN(1,FN129)*(intermediates!$B$75-data!$GL$69)+data!$GL$69</f>
        <v>1</v>
      </c>
      <c r="GM129" s="218">
        <f>GL129*intermediates!$B$74*(FS129+GC129+GK129+GG129+GF129+GB129+FV129)</f>
        <v>4165881299696.5156</v>
      </c>
      <c r="GN129" s="218">
        <f>MIN(1,FN129)*intermediates!$B$76</f>
        <v>0.12</v>
      </c>
      <c r="GO129" s="218">
        <f t="shared" si="137"/>
        <v>3832610795720.7939</v>
      </c>
      <c r="GP129" s="218">
        <f>IF(A129&gt;intermediates!$B$29,MIN(1,(A129-intermediates!$B$29)/(intermediates!$B$31-intermediates!$B$29))*intermediates!$B$77,0)</f>
        <v>0.15</v>
      </c>
      <c r="GQ129" s="218">
        <f>IF(AND(A129&gt;intermediates!$B$29+intermediates!$B$30,data!GP129&lt;intermediates!$B$77),1,0)</f>
        <v>0</v>
      </c>
      <c r="GR129" s="218">
        <f t="shared" si="192"/>
        <v>7205893461843.75</v>
      </c>
      <c r="GS129" s="218">
        <f t="shared" si="193"/>
        <v>45570166549459.188</v>
      </c>
      <c r="GT129" s="218">
        <f t="shared" si="188"/>
        <v>86708720794625</v>
      </c>
      <c r="GU129" s="218">
        <f t="shared" si="194"/>
        <v>45875324510843.75</v>
      </c>
      <c r="GV129" s="218">
        <f t="shared" si="195"/>
        <v>31938423297673.289</v>
      </c>
      <c r="GW129" s="218">
        <f t="shared" si="196"/>
        <v>2469123196165.8125</v>
      </c>
      <c r="GX129" s="218">
        <f>MIN(intermediates!$B$88,FN129*intermediates!$B$87*GO129)</f>
        <v>1916305397860.397</v>
      </c>
      <c r="GY129" s="218">
        <f t="shared" si="197"/>
        <v>1916305397860.397</v>
      </c>
      <c r="GZ129" s="218">
        <f>MIN(intermediates!$B$88-GX129,intermediates!$B$87*data!GW129*FN129)</f>
        <v>1234561598082.9063</v>
      </c>
      <c r="HA129" s="218">
        <f t="shared" si="138"/>
        <v>1234561598082.9063</v>
      </c>
      <c r="HB129" s="218">
        <f t="shared" si="139"/>
        <v>3150866995943.3032</v>
      </c>
      <c r="HC129" s="218">
        <f t="shared" si="198"/>
        <v>5744105990164.6582</v>
      </c>
      <c r="HD129" s="218">
        <f>HC129*intermediates!$B$79/(10000*1000000000)</f>
        <v>381.26046525660354</v>
      </c>
      <c r="HE129" s="218">
        <f>(GV129*intermediates!$B$80+GV129*GL129*intermediates!$B$82)/(10000*1000000000)</f>
        <v>1190.764847861519</v>
      </c>
      <c r="HF129" s="218">
        <f>GU129*intermediates!$B$78/(10000*1000000000)</f>
        <v>4619.6154707550731</v>
      </c>
      <c r="HG129" s="218">
        <f>HB129*intermediates!$B$81/(10000*1000000000)</f>
        <v>792.01298513629706</v>
      </c>
      <c r="HH129" s="218">
        <f t="shared" si="199"/>
        <v>0</v>
      </c>
      <c r="HI129" s="218">
        <f t="shared" si="200"/>
        <v>17.498788370625107</v>
      </c>
      <c r="HJ129" s="218">
        <f t="shared" si="201"/>
        <v>-1.6040139263546962</v>
      </c>
      <c r="HK129" s="218">
        <f ca="1">SUM(HJ129:INDIRECT(ADDRESS(MAX(CELL("row",HJ129)-intermediates!$B$83,69),CELL("col",HJ129))))/intermediates!$B$83+SUM(HH129:INDIRECT(ADDRESS(MAX(CELL("row",HH129)-intermediates!$B$84,69),CELL("col",HH129))))/intermediates!$B$84+SUM(HI129:INDIRECT(ADDRESS(MAX(CELL("row",HI129)-intermediates!$B$85,69),CELL("col",HI129))))/intermediates!$B$85</f>
        <v>9.4995307885257922</v>
      </c>
      <c r="HL129" s="218">
        <f t="shared" ca="1" si="163"/>
        <v>-554.00551313729648</v>
      </c>
      <c r="HM129" s="188">
        <f t="shared" si="202"/>
        <v>2073</v>
      </c>
      <c r="HQ129" s="185">
        <f t="shared" si="203"/>
        <v>946.34280414365799</v>
      </c>
      <c r="HR129" s="185">
        <f t="shared" si="204"/>
        <v>622.11359252507725</v>
      </c>
      <c r="HS129" s="185">
        <f t="shared" si="205"/>
        <v>443.45460233596407</v>
      </c>
      <c r="HT129" s="185">
        <f t="shared" si="206"/>
        <v>416.23196147935676</v>
      </c>
      <c r="HU129" s="185">
        <f t="shared" si="207"/>
        <v>366.54676209100148</v>
      </c>
      <c r="HV129" s="185">
        <f t="shared" si="208"/>
        <v>337.22302112372131</v>
      </c>
      <c r="HW129" s="185">
        <f t="shared" si="209"/>
        <v>634.03076717619444</v>
      </c>
      <c r="HX129" s="185">
        <f t="shared" si="210"/>
        <v>15.502120122620651</v>
      </c>
      <c r="HY129" s="185">
        <f t="shared" si="211"/>
        <v>228.17341356538648</v>
      </c>
      <c r="HZ129" s="185">
        <f t="shared" si="140"/>
        <v>3765.9435108749726</v>
      </c>
      <c r="IA129" s="185">
        <f t="shared" si="141"/>
        <v>4009.6190445629795</v>
      </c>
      <c r="IB129" s="185">
        <f t="shared" si="212"/>
        <v>2613.2301845738384</v>
      </c>
      <c r="IC129" s="185">
        <f t="shared" si="231"/>
        <v>4226.8717811746301</v>
      </c>
      <c r="ID129" s="185">
        <f t="shared" si="213"/>
        <v>3402.438457366698</v>
      </c>
      <c r="IE129" s="184">
        <f t="shared" si="142"/>
        <v>-0.13546998015546499</v>
      </c>
      <c r="IF129" s="184">
        <f t="shared" si="143"/>
        <v>-6.3852069430167552E-2</v>
      </c>
    </row>
    <row r="130" spans="1:240" x14ac:dyDescent="0.3">
      <c r="A130" s="211">
        <v>2074</v>
      </c>
      <c r="E130" s="207">
        <v>8553324.5079999994</v>
      </c>
      <c r="F130" s="207">
        <v>10555450.003</v>
      </c>
      <c r="G130" s="207">
        <v>12884637.328</v>
      </c>
      <c r="I130" s="207">
        <f t="shared" si="164"/>
        <v>8553324507.999999</v>
      </c>
      <c r="J130" s="207">
        <f t="shared" si="164"/>
        <v>10555450003</v>
      </c>
      <c r="K130" s="207">
        <f t="shared" si="164"/>
        <v>12884637328</v>
      </c>
      <c r="L130" s="187">
        <f>IF(intermediates!$B$4&gt;=2,(intermediates!$B$4-2)*K130+(1-(intermediates!$B$4-2))*J130,(intermediates!$B$4-1)*J130+(1-(intermediates!$B$4-1))*I130)</f>
        <v>11415524450.548958</v>
      </c>
      <c r="AJ130" s="184">
        <f>IF(intermediates!$B$46=0,$AJ$74+(intermediates!$B$15-$AJ$74)*MIN(1,(data!A130-data!$A$74)/(intermediates!$B$32-data!$A$74)),IF(A130&lt;2021,$AJ$74+(intermediates!$B$15-$AJ$74)*MIN(1,(data!A130-data!$A$74)/(intermediates!$B$32-data!$A$74)),intermediates!$B$47+(intermediates!$B$15-intermediates!$B$47)*MIN(1,(data!A130-$A$77)/(intermediates!$B$32-$A$77))))</f>
        <v>27400</v>
      </c>
      <c r="AK130" s="192">
        <f t="shared" si="146"/>
        <v>27400</v>
      </c>
      <c r="AL130" s="192">
        <f t="shared" si="234"/>
        <v>312785369945041.44</v>
      </c>
      <c r="AM130" s="192">
        <f>data!AL130/(1000000*conversions!$C$1)</f>
        <v>26810.17456671784</v>
      </c>
      <c r="AN130" s="192">
        <f>IF(intermediates!$B$13=1,($AJ$74+(27400-$AJ$74)*MIN(1,(data!A130-data!$A$74)/(intermediates!$B$32-data!$A$74)))*L130/(1000000*conversions!$C$1),data!AM130)</f>
        <v>26810.17456671784</v>
      </c>
      <c r="AV130" s="214">
        <f>IF(A130&lt;intermediates!$B$29,0,IF(A130&lt;intermediates!$B$31,(data!A130-intermediates!$B$29)*intermediates!$B$26/(intermediates!$B$31-intermediates!$B$29),intermediates!$B$26))</f>
        <v>10</v>
      </c>
      <c r="AW130" s="212">
        <f>MIN(AW129+intermediates!$B$16,intermediates!$B$17*data!$AW$74)</f>
        <v>1897.5897864678325</v>
      </c>
      <c r="AX130" s="212">
        <f>AV130*1000/conversions!$C$16/intermediates!$B$40</f>
        <v>8187.0584968062822</v>
      </c>
      <c r="AY130" s="212">
        <f>AX130*(1-intermediates!$B$39)*intermediates!$B$28/(conversions!$C$2)</f>
        <v>2143.0300372958864</v>
      </c>
      <c r="AZ130" s="213">
        <f>IF(A130&lt;intermediates!$B$29,0,MIN(intermediates!$B$25,intermediates!$B$25*(A130-intermediates!$B$29)/(intermediates!$B$31-intermediates!$B$29)))</f>
        <v>0</v>
      </c>
      <c r="BA130" s="212">
        <f>IF(A130&lt;intermediates!$B$29,data!$BA$74,IF(intermediates!$B$23&gt;data!$BA$74,MIN(intermediates!$B$23,data!$BA$74+(intermediates!$B$23-data!$BA$74)*((data!A130-intermediates!$B$29)/(intermediates!$B$31-intermediates!$B$29))),MAX(intermediates!$B$23,data!$BA$74+(intermediates!$B$23-data!$BA$74)*((data!A130-intermediates!$B$29)/(intermediates!$B$31-intermediates!$B$29)))))</f>
        <v>0.08</v>
      </c>
      <c r="BB130" s="212">
        <f t="shared" si="214"/>
        <v>2144.8139653374274</v>
      </c>
      <c r="BC130" s="212">
        <f t="shared" si="166"/>
        <v>2144.8139653374274</v>
      </c>
      <c r="BD130" s="212">
        <f t="shared" si="167"/>
        <v>0</v>
      </c>
      <c r="BE130" s="214">
        <f>MAX(0,MIN(1,(data!A130-intermediates!$B$29)/(intermediates!$B$31-intermediates!$B$29)))*((intermediates!$B$38*L130)-$BE$69*1000000000)/1000000000+$BE$69</f>
        <v>1426.9405563186197</v>
      </c>
      <c r="BF130" s="214">
        <f t="shared" si="99"/>
        <v>1426.9405563186197</v>
      </c>
      <c r="BG130" s="214">
        <f t="shared" si="168"/>
        <v>0</v>
      </c>
      <c r="BH130" s="214">
        <f>BD130*conversions!$C$2/conversions!$C$17+BG130*conversions!$C$6/conversions!$C$10</f>
        <v>0</v>
      </c>
      <c r="BI130" s="214">
        <f>BH130*intermediates!$B$41*conversions!$C$11/(conversions!$C$2*conversions!$C$6*intermediates!$B$42)</f>
        <v>0</v>
      </c>
      <c r="BJ130" s="214">
        <f>BH130*intermediates!$B$43/(conversions!$C$1*intermediates!$B$42)</f>
        <v>0</v>
      </c>
      <c r="BK130" s="214">
        <f t="shared" si="215"/>
        <v>0</v>
      </c>
      <c r="BL130" s="214">
        <f t="shared" si="216"/>
        <v>26810.17456671784</v>
      </c>
      <c r="BM130" s="214">
        <f t="shared" si="217"/>
        <v>20624.740777616695</v>
      </c>
      <c r="BN130" s="214">
        <f>IF(A130&lt;intermediates!$B$29,MIN(BO129+intermediates!$B$33*AN129),MIN(BO129*intermediates!$B$35,BO129+intermediates!$B$37*AN129))</f>
        <v>21316.424613416606</v>
      </c>
      <c r="BO130" s="212">
        <f>IF(A130&lt;intermediates!$B$29,MIN(BM130,BO129+intermediates!$B$33*AN129),MIN(BM130,BO129*intermediates!$B$35,BO129+intermediates!$B$37*AN129))</f>
        <v>20624.740777616695</v>
      </c>
      <c r="BP130" s="214">
        <f t="shared" si="218"/>
        <v>691.68383579991132</v>
      </c>
      <c r="BQ130" s="214">
        <f t="shared" si="219"/>
        <v>0</v>
      </c>
      <c r="BR130" s="212" t="str">
        <f t="shared" si="235"/>
        <v/>
      </c>
      <c r="BS130" s="212">
        <f>BP130*conversions!$C$1*intermediates!$B$42/intermediates!$B$43</f>
        <v>1543.752892773892</v>
      </c>
      <c r="BT130" s="214">
        <f>MIN(BT129+BS130,intermediates!$B$27*1000)</f>
        <v>0</v>
      </c>
      <c r="BU130" s="219" t="str">
        <f>IF(AND(BT130=intermediates!$B$27*1000,BT129&lt;&gt;intermediates!$B$27*1000),A130,"")</f>
        <v/>
      </c>
      <c r="BV130" s="212">
        <f>BT130*intermediates!$B$43/(conversions!$C$1*intermediates!$B$42)</f>
        <v>0</v>
      </c>
      <c r="BW130" s="214">
        <f t="shared" si="220"/>
        <v>26810.17456671784</v>
      </c>
      <c r="BX130" s="214">
        <f t="shared" si="221"/>
        <v>20624.740777616695</v>
      </c>
      <c r="BY130" s="227">
        <f>IF(OR(BQ130&gt;0,BT130&lt;&gt;intermediates!$B$27*1000),MAX(0,(BX130-BX129)/AM129),0.000000000001)</f>
        <v>9.9999999999999998E-13</v>
      </c>
      <c r="BZ130" s="322">
        <f>BH130*intermediates!$B$49*1000000</f>
        <v>0</v>
      </c>
      <c r="CA130" s="322">
        <f>BI130*conversions!$C$1*1000000*intermediates!$B$50</f>
        <v>0</v>
      </c>
      <c r="CB130" s="322">
        <f>BT130*1000000*intermediates!$B$49</f>
        <v>0</v>
      </c>
      <c r="CC130" s="214">
        <f>BW130*conversions!$C$1*1000000/L130</f>
        <v>27400.000000000004</v>
      </c>
      <c r="CD130" s="173">
        <f t="shared" si="189"/>
        <v>2074</v>
      </c>
      <c r="CE130" s="173"/>
      <c r="CF130" s="173"/>
      <c r="CG130" s="173"/>
      <c r="CH130" s="173"/>
      <c r="CI130" s="173">
        <f t="shared" si="222"/>
        <v>0</v>
      </c>
      <c r="CJ130" s="173">
        <f t="shared" si="223"/>
        <v>1897.5897864678325</v>
      </c>
      <c r="CK130" s="173">
        <f t="shared" si="224"/>
        <v>2144.8139653374274</v>
      </c>
      <c r="CL130" s="173">
        <f t="shared" si="225"/>
        <v>2143.0300372958864</v>
      </c>
      <c r="CM130" s="173"/>
      <c r="CN130" s="173"/>
      <c r="CO130" s="329">
        <f t="shared" si="169"/>
        <v>20624.740777616695</v>
      </c>
      <c r="CP130" s="174">
        <f t="shared" si="226"/>
        <v>0</v>
      </c>
      <c r="CQ130" s="228">
        <f t="shared" si="227"/>
        <v>10</v>
      </c>
      <c r="CR130" s="228">
        <f t="shared" si="170"/>
        <v>385</v>
      </c>
      <c r="CS130" s="214">
        <f t="shared" ca="1" si="228"/>
        <v>-20.837833387780755</v>
      </c>
      <c r="CT130" s="190">
        <f t="shared" ca="1" si="229"/>
        <v>-1.8253943108832542</v>
      </c>
      <c r="CU130" s="190">
        <f t="shared" ca="1" si="236"/>
        <v>-20.837833387780755</v>
      </c>
      <c r="CV130" s="198">
        <f t="shared" si="174"/>
        <v>3203.9310777670239</v>
      </c>
      <c r="CW130" s="198">
        <f t="shared" ca="1" si="171"/>
        <v>3796.8898451957907</v>
      </c>
      <c r="CX130" s="198">
        <f t="shared" ca="1" si="230"/>
        <v>3362.0987575165418</v>
      </c>
      <c r="CY130" s="198">
        <f t="shared" ca="1" si="173"/>
        <v>-434.79108767924879</v>
      </c>
      <c r="CZ130" s="199">
        <f ca="1">IF(CX130&lt;intermediates!$B$55,intermediates!$B$56+(CX130-intermediates!$B$55)*intermediates!$B$53,intermediates!$B$56+(data!CX130-intermediates!$B$55)*intermediates!$B$58)</f>
        <v>1.7974000440752436</v>
      </c>
      <c r="DG130" s="201">
        <f>IF(A130&gt;MAX(intermediates!B$31,intermediates!$B$32),DG129,DG129+intermediates!$B$60*DG$73)</f>
        <v>19505207416250</v>
      </c>
      <c r="DH130" s="201">
        <f>IF(A130&gt;MAX(intermediates!B$31,intermediates!$B$32),DH129,DH129+intermediates!$B$61*DH$73)</f>
        <v>28534082329375</v>
      </c>
      <c r="DI130" s="201">
        <f>IF(A130&gt;MAX(intermediates!B$31,intermediates!$B$32),DI129,DI129+intermediates!$B$62*DI$73)</f>
        <v>38669431049000</v>
      </c>
      <c r="DJ130" s="221"/>
      <c r="EE130" s="218"/>
      <c r="EF130" s="212">
        <f>$EF$69+intermediates!$B$90*(A130-2013)*intermediates!$B$92+intermediates!$B$91*intermediates!$B$92*(A130-2013)^2</f>
        <v>3123.5929785492185</v>
      </c>
      <c r="EH130" s="212">
        <f>IF(A130&lt;intermediates!$B$29,data!EH129,IF(A130&lt;intermediates!$B$31,data!$EH$69+(intermediates!$B$93-data!$EH$69)*(data!A130-intermediates!$B$29)/(intermediates!$B$31-intermediates!$B$29),intermediates!$B$93))</f>
        <v>2.522212345090466E-2</v>
      </c>
      <c r="EI130" s="212">
        <f t="shared" si="128"/>
        <v>2.522212345090466E-2</v>
      </c>
      <c r="EN130" s="218"/>
      <c r="EO130" s="212">
        <f t="shared" si="129"/>
        <v>3044.8093308338712</v>
      </c>
      <c r="EQ130" s="212">
        <f t="shared" si="130"/>
        <v>78.783647715347342</v>
      </c>
      <c r="ET130" s="214">
        <f>IF(A130&lt;intermediates!$B$29,ET129+intermediates!$B$63,ET129+intermediates!$B$63*intermediates!$B$67)</f>
        <v>1394.2625156122403</v>
      </c>
      <c r="EU130" s="215">
        <f t="shared" si="131"/>
        <v>1394.2625156122403</v>
      </c>
      <c r="EV130" s="216">
        <f>data!EU130*conversions!$C$13</f>
        <v>1.6215273056570354</v>
      </c>
      <c r="EX130" s="212">
        <f>intermediates!$B$64+intermediates!$B$64*(EXP(-(data!A130-intermediates!$B$66)/intermediates!$B$65)-1)</f>
        <v>6.9919522961865276E-3</v>
      </c>
      <c r="EY130" s="217">
        <f>IF(A130&lt;intermediates!$B$29,data!EX130,data!EY129+(data!EX130-data!EX129)*intermediates!$B$68)</f>
        <v>6.9919522961865276E-3</v>
      </c>
      <c r="EZ130" s="217">
        <f t="shared" si="132"/>
        <v>6.9919522961865276E-3</v>
      </c>
      <c r="FB130" s="212">
        <f>intermediates!$B$94+intermediates!$B$95+(intermediates!$B$95*(EXP(-(data!A130-intermediates!$B$97)/intermediates!$B$96)-1))</f>
        <v>1.5652029657706217</v>
      </c>
      <c r="FC130" s="217">
        <f>IF(A130&lt;intermediates!$B$29,data!FB130,data!FC129+(data!FB130-data!FB129)*intermediates!$B$68)</f>
        <v>1.5652029657706217</v>
      </c>
      <c r="FD130" s="212">
        <f t="shared" si="133"/>
        <v>1.5652029657706217</v>
      </c>
      <c r="FF130" s="184">
        <f>intermediates!$B$98+intermediates!$B$99*EXP(-(A130-intermediates!$B$101)/intermediates!$B$100)</f>
        <v>0.89727612377845456</v>
      </c>
      <c r="FG130" s="184">
        <f t="shared" si="101"/>
        <v>0.89727612377845456</v>
      </c>
      <c r="FI130" s="184">
        <f>intermediates!$B$102+intermediates!$B$103*EXP(-(A130-intermediates!$B$105)/intermediates!$B$104)</f>
        <v>1.5245187174697382E-2</v>
      </c>
      <c r="FJ130" s="184">
        <f t="shared" si="134"/>
        <v>1.5245187174697382E-2</v>
      </c>
      <c r="FL130" s="184">
        <f>intermediates!$B$106</f>
        <v>4.5616870531049965E-2</v>
      </c>
      <c r="FM130" s="184">
        <f t="shared" si="135"/>
        <v>4.5616870531049965E-2</v>
      </c>
      <c r="FN130" s="218">
        <f>IF(A130&lt;intermediates!$B$29,0,IF(A130&lt;intermediates!$B$31,(data!A130-intermediates!$B$29)/(intermediates!$B$31-intermediates!$B$29),1))</f>
        <v>1</v>
      </c>
      <c r="FO130" s="218">
        <f t="shared" si="232"/>
        <v>328265179731263.88</v>
      </c>
      <c r="FP130" s="218">
        <f t="shared" si="177"/>
        <v>365846333176603.56</v>
      </c>
      <c r="FQ130" s="218">
        <f t="shared" si="178"/>
        <v>2557980109305.5747</v>
      </c>
      <c r="FR130" s="218">
        <f t="shared" si="179"/>
        <v>572623765704326.88</v>
      </c>
      <c r="FS130" s="218">
        <f t="shared" si="180"/>
        <v>410700107972.76556</v>
      </c>
      <c r="FT130" s="218">
        <f>intermediates!$B$69*data!EU130/intermediates!$B$71</f>
        <v>3.5488634874884228</v>
      </c>
      <c r="FU130" s="218">
        <f>BC130*conversions!$C$1*1000000</f>
        <v>25022829595603.316</v>
      </c>
      <c r="FV130" s="218">
        <f t="shared" si="184"/>
        <v>7050941712416.3037</v>
      </c>
      <c r="FX130" s="221"/>
      <c r="FY130" s="221"/>
      <c r="FZ130" s="221"/>
      <c r="GA130" s="218">
        <f t="shared" si="190"/>
        <v>1426.9405563186197</v>
      </c>
      <c r="GB130" s="218">
        <f>GA130*1000000*10000*intermediates!$B$71/(intermediates!$B$72*data!EU130)</f>
        <v>5026047639439.085</v>
      </c>
      <c r="GC130" s="218">
        <f t="shared" si="233"/>
        <v>9099222467490.4766</v>
      </c>
      <c r="GD130" s="218">
        <f t="shared" si="144"/>
        <v>21586911927318.633</v>
      </c>
      <c r="GE130" s="218">
        <f t="shared" si="182"/>
        <v>22985879874668.059</v>
      </c>
      <c r="GF130" s="218">
        <f t="shared" si="183"/>
        <v>350424041064.42413</v>
      </c>
      <c r="GG130" s="218">
        <f t="shared" si="136"/>
        <v>1048543906284.9999</v>
      </c>
      <c r="GH130" s="218">
        <f t="shared" si="191"/>
        <v>9334662476854.2207</v>
      </c>
      <c r="GI130" s="218">
        <f t="shared" si="145"/>
        <v>175260098609.02148</v>
      </c>
      <c r="GJ130" s="218">
        <f>ET130*intermediates!$B$73/intermediates!$B$71</f>
        <v>5.3232952312326347</v>
      </c>
      <c r="GK130" s="218">
        <f>CL130*conversions!$C$1*1000000/data!GJ130</f>
        <v>4696718107065.4238</v>
      </c>
      <c r="GL130" s="218">
        <f>MIN(1,FN130)*(intermediates!$B$75-data!$GL$69)+data!$GL$69</f>
        <v>1</v>
      </c>
      <c r="GM130" s="218">
        <f>GL130*intermediates!$B$74*(FS130+GC130+GK130+GG130+GF130+GB130+FV130)</f>
        <v>4152389697260.022</v>
      </c>
      <c r="GN130" s="218">
        <f>MIN(1,FN130)*intermediates!$B$76</f>
        <v>0.12</v>
      </c>
      <c r="GO130" s="218">
        <f t="shared" si="137"/>
        <v>3820198521479.2197</v>
      </c>
      <c r="GP130" s="218">
        <f>IF(A130&gt;intermediates!$B$29,MIN(1,(A130-intermediates!$B$29)/(intermediates!$B$31-intermediates!$B$29))*intermediates!$B$77,0)</f>
        <v>0.15</v>
      </c>
      <c r="GQ130" s="218">
        <f>IF(AND(A130&gt;intermediates!$B$29+intermediates!$B$30,data!GP130&lt;intermediates!$B$77),1,0)</f>
        <v>0</v>
      </c>
      <c r="GR130" s="218">
        <f t="shared" si="192"/>
        <v>7205893461843.75</v>
      </c>
      <c r="GS130" s="218">
        <f t="shared" si="193"/>
        <v>45419059771622.047</v>
      </c>
      <c r="GT130" s="218">
        <f t="shared" si="188"/>
        <v>86708720794625</v>
      </c>
      <c r="GU130" s="218">
        <f t="shared" si="194"/>
        <v>45875324510843.75</v>
      </c>
      <c r="GV130" s="218">
        <f t="shared" si="195"/>
        <v>31834987678993.508</v>
      </c>
      <c r="GW130" s="218">
        <f t="shared" si="196"/>
        <v>2620229974002.9531</v>
      </c>
      <c r="GX130" s="218">
        <f>MIN(intermediates!$B$88,FN130*intermediates!$B$87*GO130)</f>
        <v>1910099260739.6099</v>
      </c>
      <c r="GY130" s="218">
        <f t="shared" si="197"/>
        <v>1910099260739.6099</v>
      </c>
      <c r="GZ130" s="218">
        <f>MIN(intermediates!$B$88-GX130,intermediates!$B$87*data!GW130*FN130)</f>
        <v>1310114987001.4766</v>
      </c>
      <c r="HA130" s="218">
        <f t="shared" si="138"/>
        <v>1310114987001.4766</v>
      </c>
      <c r="HB130" s="218">
        <f t="shared" si="139"/>
        <v>3220214247741.0864</v>
      </c>
      <c r="HC130" s="218">
        <f t="shared" si="198"/>
        <v>5778194357046.6611</v>
      </c>
      <c r="HD130" s="218">
        <f>HC130*intermediates!$B$79/(10000*1000000000)</f>
        <v>383.52305348870158</v>
      </c>
      <c r="HE130" s="218">
        <f>(GV130*intermediates!$B$80+GV130*GL130*intermediates!$B$82)/(10000*1000000000)</f>
        <v>1186.9084427537041</v>
      </c>
      <c r="HF130" s="218">
        <f>GU130*intermediates!$B$78/(10000*1000000000)</f>
        <v>4619.6154707550731</v>
      </c>
      <c r="HG130" s="218">
        <f>HB130*intermediates!$B$81/(10000*1000000000)</f>
        <v>809.44435370186159</v>
      </c>
      <c r="HH130" s="218">
        <f t="shared" si="199"/>
        <v>0</v>
      </c>
      <c r="HI130" s="218">
        <f t="shared" si="200"/>
        <v>17.431368565564526</v>
      </c>
      <c r="HJ130" s="218">
        <f t="shared" si="201"/>
        <v>-1.5938168757168683</v>
      </c>
      <c r="HK130" s="218">
        <f ca="1">SUM(HJ130:INDIRECT(ADDRESS(MAX(CELL("row",HJ130)-intermediates!$B$83,69),CELL("col",HJ130))))/intermediates!$B$83+SUM(HH130:INDIRECT(ADDRESS(MAX(CELL("row",HH130)-intermediates!$B$84,69),CELL("col",HH130))))/intermediates!$B$84+SUM(HI130:INDIRECT(ADDRESS(MAX(CELL("row",HI130)-intermediates!$B$85,69),CELL("col",HI130))))/intermediates!$B$85</f>
        <v>10.837833387780755</v>
      </c>
      <c r="HL130" s="218">
        <f t="shared" ca="1" si="163"/>
        <v>-543.16767974951574</v>
      </c>
      <c r="HM130" s="188">
        <f t="shared" si="202"/>
        <v>2074</v>
      </c>
      <c r="HQ130" s="185">
        <f t="shared" si="203"/>
        <v>940.26607981970358</v>
      </c>
      <c r="HR130" s="185">
        <f t="shared" si="204"/>
        <v>617.66252991357157</v>
      </c>
      <c r="HS130" s="185">
        <f t="shared" si="205"/>
        <v>440.28179880928633</v>
      </c>
      <c r="HT130" s="185">
        <f t="shared" si="206"/>
        <v>411.43253009629046</v>
      </c>
      <c r="HU130" s="185">
        <f t="shared" si="207"/>
        <v>363.74935862542338</v>
      </c>
      <c r="HV130" s="185">
        <f t="shared" si="208"/>
        <v>334.64940993538949</v>
      </c>
      <c r="HW130" s="185">
        <f t="shared" si="209"/>
        <v>631.23630395248529</v>
      </c>
      <c r="HX130" s="185">
        <f t="shared" si="210"/>
        <v>15.352785530637048</v>
      </c>
      <c r="HY130" s="185">
        <f t="shared" si="211"/>
        <v>224.07907060131299</v>
      </c>
      <c r="HZ130" s="185">
        <f t="shared" si="140"/>
        <v>3739.2780111521497</v>
      </c>
      <c r="IA130" s="185">
        <f t="shared" si="141"/>
        <v>3978.7098672840998</v>
      </c>
      <c r="IB130" s="185">
        <f t="shared" si="212"/>
        <v>2613.2301845738384</v>
      </c>
      <c r="IC130" s="185">
        <f t="shared" si="231"/>
        <v>4208.2420263499025</v>
      </c>
      <c r="ID130" s="185">
        <f t="shared" si="213"/>
        <v>3387.4423568108987</v>
      </c>
      <c r="IE130" s="184">
        <f t="shared" si="142"/>
        <v>-0.1384419174705184</v>
      </c>
      <c r="IF130" s="184">
        <f t="shared" si="143"/>
        <v>-6.775972397118378E-2</v>
      </c>
    </row>
    <row r="131" spans="1:240" x14ac:dyDescent="0.3">
      <c r="A131" s="211">
        <v>2075</v>
      </c>
      <c r="E131" s="207">
        <v>8519467.3110000007</v>
      </c>
      <c r="F131" s="207">
        <v>10577288.195</v>
      </c>
      <c r="G131" s="207">
        <v>12982447.172</v>
      </c>
      <c r="I131" s="207">
        <f t="shared" si="164"/>
        <v>8519467311.000001</v>
      </c>
      <c r="J131" s="207">
        <f t="shared" si="164"/>
        <v>10577288195</v>
      </c>
      <c r="K131" s="207">
        <f t="shared" si="164"/>
        <v>12982447172</v>
      </c>
      <c r="L131" s="187">
        <f>IF(intermediates!$B$4&gt;=2,(intermediates!$B$4-2)*K131+(1-(intermediates!$B$4-2))*J131,(intermediates!$B$4-1)*J131+(1-(intermediates!$B$4-1))*I131)</f>
        <v>11465415893.535666</v>
      </c>
      <c r="AJ131" s="184">
        <f>IF(intermediates!$B$46=0,$AJ$74+(intermediates!$B$15-$AJ$74)*MIN(1,(data!A131-data!$A$74)/(intermediates!$B$32-data!$A$74)),IF(A131&lt;2021,$AJ$74+(intermediates!$B$15-$AJ$74)*MIN(1,(data!A131-data!$A$74)/(intermediates!$B$32-data!$A$74)),intermediates!$B$47+(intermediates!$B$15-intermediates!$B$47)*MIN(1,(data!A131-$A$77)/(intermediates!$B$32-$A$77))))</f>
        <v>27400</v>
      </c>
      <c r="AK131" s="192">
        <f t="shared" si="146"/>
        <v>27400</v>
      </c>
      <c r="AL131" s="192">
        <f t="shared" si="234"/>
        <v>314152395482877.25</v>
      </c>
      <c r="AM131" s="192">
        <f>data!AL131/(1000000*conversions!$C$1)</f>
        <v>26927.348184246624</v>
      </c>
      <c r="AN131" s="192">
        <f>IF(intermediates!$B$13=1,($AJ$74+(27400-$AJ$74)*MIN(1,(data!A131-data!$A$74)/(intermediates!$B$32-data!$A$74)))*L131/(1000000*conversions!$C$1),data!AM131)</f>
        <v>26927.348184246624</v>
      </c>
      <c r="AV131" s="214">
        <f>IF(A131&lt;intermediates!$B$29,0,IF(A131&lt;intermediates!$B$31,(data!A131-intermediates!$B$29)*intermediates!$B$26/(intermediates!$B$31-intermediates!$B$29),intermediates!$B$26))</f>
        <v>10</v>
      </c>
      <c r="AW131" s="212">
        <f>MIN(AW130+intermediates!$B$16,intermediates!$B$17*data!$AW$74)</f>
        <v>1897.5897864678325</v>
      </c>
      <c r="AX131" s="212">
        <f>AV131*1000/conversions!$C$16/intermediates!$B$40</f>
        <v>8187.0584968062822</v>
      </c>
      <c r="AY131" s="212">
        <f>AX131*(1-intermediates!$B$39)*intermediates!$B$28/(conversions!$C$2)</f>
        <v>2143.0300372958864</v>
      </c>
      <c r="AZ131" s="213">
        <f>IF(A131&lt;intermediates!$B$29,0,MIN(intermediates!$B$25,intermediates!$B$25*(A131-intermediates!$B$29)/(intermediates!$B$31-intermediates!$B$29)))</f>
        <v>0</v>
      </c>
      <c r="BA131" s="212">
        <f>IF(A131&lt;intermediates!$B$29,data!$BA$74,IF(intermediates!$B$23&gt;data!$BA$74,MIN(intermediates!$B$23,data!$BA$74+(intermediates!$B$23-data!$BA$74)*((data!A131-intermediates!$B$29)/(intermediates!$B$31-intermediates!$B$29))),MAX(intermediates!$B$23,data!$BA$74+(intermediates!$B$23-data!$BA$74)*((data!A131-intermediates!$B$29)/(intermediates!$B$31-intermediates!$B$29)))))</f>
        <v>0.08</v>
      </c>
      <c r="BB131" s="212">
        <f t="shared" si="214"/>
        <v>2154.18785473973</v>
      </c>
      <c r="BC131" s="212">
        <f t="shared" si="166"/>
        <v>2154.18785473973</v>
      </c>
      <c r="BD131" s="212">
        <f t="shared" si="167"/>
        <v>0</v>
      </c>
      <c r="BE131" s="214">
        <f>MAX(0,MIN(1,(data!A131-intermediates!$B$29)/(intermediates!$B$31-intermediates!$B$29)))*((intermediates!$B$38*L131)-$BE$69*1000000000)/1000000000+$BE$69</f>
        <v>1433.1769866919583</v>
      </c>
      <c r="BF131" s="214">
        <f t="shared" si="99"/>
        <v>1433.1769866919583</v>
      </c>
      <c r="BG131" s="214">
        <f t="shared" si="168"/>
        <v>0</v>
      </c>
      <c r="BH131" s="214">
        <f>BD131*conversions!$C$2/conversions!$C$17+BG131*conversions!$C$6/conversions!$C$10</f>
        <v>0</v>
      </c>
      <c r="BI131" s="214">
        <f>BH131*intermediates!$B$41*conversions!$C$11/(conversions!$C$2*conversions!$C$6*intermediates!$B$42)</f>
        <v>0</v>
      </c>
      <c r="BJ131" s="214">
        <f>BH131*intermediates!$B$43/(conversions!$C$1*intermediates!$B$42)</f>
        <v>0</v>
      </c>
      <c r="BK131" s="214">
        <f t="shared" si="215"/>
        <v>0</v>
      </c>
      <c r="BL131" s="214">
        <f t="shared" si="216"/>
        <v>26927.348184246624</v>
      </c>
      <c r="BM131" s="214">
        <f t="shared" si="217"/>
        <v>20732.540505743174</v>
      </c>
      <c r="BN131" s="214">
        <f>IF(A131&lt;intermediates!$B$29,MIN(BO130+intermediates!$B$33*AN130),MIN(BO130*intermediates!$B$35,BO130+intermediates!$B$37*AN130))</f>
        <v>21428.679449993615</v>
      </c>
      <c r="BO131" s="212">
        <f>IF(A131&lt;intermediates!$B$29,MIN(BM131,BO130+intermediates!$B$33*AN130),MIN(BM131,BO130*intermediates!$B$35,BO130+intermediates!$B$37*AN130))</f>
        <v>20732.540505743174</v>
      </c>
      <c r="BP131" s="214">
        <f t="shared" si="218"/>
        <v>696.13894425044055</v>
      </c>
      <c r="BQ131" s="214">
        <f t="shared" si="219"/>
        <v>0</v>
      </c>
      <c r="BR131" s="212" t="str">
        <f t="shared" si="235"/>
        <v/>
      </c>
      <c r="BS131" s="212">
        <f>BP131*conversions!$C$1*intermediates!$B$42/intermediates!$B$43</f>
        <v>1553.6961445923653</v>
      </c>
      <c r="BT131" s="214">
        <f>MIN(BT130+BS131,intermediates!$B$27*1000)</f>
        <v>0</v>
      </c>
      <c r="BU131" s="219" t="str">
        <f>IF(AND(BT131=intermediates!$B$27*1000,BT130&lt;&gt;intermediates!$B$27*1000),A131,"")</f>
        <v/>
      </c>
      <c r="BV131" s="212">
        <f>BT131*intermediates!$B$43/(conversions!$C$1*intermediates!$B$42)</f>
        <v>0</v>
      </c>
      <c r="BW131" s="214">
        <f t="shared" si="220"/>
        <v>26927.348184246624</v>
      </c>
      <c r="BX131" s="214">
        <f t="shared" si="221"/>
        <v>20732.540505743174</v>
      </c>
      <c r="BY131" s="227">
        <f>IF(OR(BQ131&gt;0,BT131&lt;&gt;intermediates!$B$27*1000),MAX(0,(BX131-BX130)/AM130),0.000000000001)</f>
        <v>9.9999999999999998E-13</v>
      </c>
      <c r="BZ131" s="322">
        <f>BH131*intermediates!$B$49*1000000</f>
        <v>0</v>
      </c>
      <c r="CA131" s="322">
        <f>BI131*conversions!$C$1*1000000*intermediates!$B$50</f>
        <v>0</v>
      </c>
      <c r="CB131" s="322">
        <f>BT131*1000000*intermediates!$B$49</f>
        <v>0</v>
      </c>
      <c r="CC131" s="214">
        <f>BW131*conversions!$C$1*1000000/L131</f>
        <v>27400</v>
      </c>
      <c r="CD131" s="173">
        <f t="shared" si="189"/>
        <v>2075</v>
      </c>
      <c r="CE131" s="173"/>
      <c r="CF131" s="173"/>
      <c r="CG131" s="173"/>
      <c r="CH131" s="173"/>
      <c r="CI131" s="173">
        <f t="shared" si="222"/>
        <v>0</v>
      </c>
      <c r="CJ131" s="173">
        <f t="shared" si="223"/>
        <v>1897.5897864678325</v>
      </c>
      <c r="CK131" s="173">
        <f t="shared" si="224"/>
        <v>2154.18785473973</v>
      </c>
      <c r="CL131" s="173">
        <f t="shared" si="225"/>
        <v>2143.0300372958864</v>
      </c>
      <c r="CM131" s="173"/>
      <c r="CN131" s="173"/>
      <c r="CO131" s="329">
        <f t="shared" si="169"/>
        <v>20732.540505743174</v>
      </c>
      <c r="CP131" s="174">
        <f t="shared" si="226"/>
        <v>0</v>
      </c>
      <c r="CQ131" s="228">
        <f t="shared" si="227"/>
        <v>10</v>
      </c>
      <c r="CR131" s="228">
        <f t="shared" si="170"/>
        <v>395</v>
      </c>
      <c r="CS131" s="214">
        <f t="shared" ca="1" si="228"/>
        <v>-22.134540597998367</v>
      </c>
      <c r="CT131" s="190">
        <f t="shared" ca="1" si="229"/>
        <v>-1.9305484252409961</v>
      </c>
      <c r="CU131" s="190">
        <f t="shared" ca="1" si="236"/>
        <v>-22.134540597998367</v>
      </c>
      <c r="CV131" s="198">
        <f t="shared" si="174"/>
        <v>3203.9310777670239</v>
      </c>
      <c r="CW131" s="198">
        <f t="shared" ca="1" si="171"/>
        <v>3796.8898451957907</v>
      </c>
      <c r="CX131" s="198">
        <f t="shared" ca="1" si="230"/>
        <v>3339.9642169185436</v>
      </c>
      <c r="CY131" s="198">
        <f t="shared" ca="1" si="173"/>
        <v>-456.92562827724714</v>
      </c>
      <c r="CZ131" s="199">
        <f ca="1">IF(CX131&lt;intermediates!$B$55,intermediates!$B$56+(CX131-intermediates!$B$55)*intermediates!$B$53,intermediates!$B$56+(data!CX131-intermediates!$B$55)*intermediates!$B$58)</f>
        <v>1.7853632875891796</v>
      </c>
      <c r="DG131" s="201">
        <f>IF(A131&gt;MAX(intermediates!B$31,intermediates!$B$32),DG130,DG130+intermediates!$B$60*DG$73)</f>
        <v>19505207416250</v>
      </c>
      <c r="DH131" s="201">
        <f>IF(A131&gt;MAX(intermediates!B$31,intermediates!$B$32),DH130,DH130+intermediates!$B$61*DH$73)</f>
        <v>28534082329375</v>
      </c>
      <c r="DI131" s="201">
        <f>IF(A131&gt;MAX(intermediates!B$31,intermediates!$B$32),DI130,DI130+intermediates!$B$62*DI$73)</f>
        <v>38669431049000</v>
      </c>
      <c r="DJ131" s="221"/>
      <c r="EE131" s="218"/>
      <c r="EF131" s="212">
        <f>$EF$69+intermediates!$B$90*(A131-2013)*intermediates!$B$92+intermediates!$B$91*intermediates!$B$92*(A131-2013)^2</f>
        <v>3126.5580685492187</v>
      </c>
      <c r="EH131" s="212">
        <f>IF(A131&lt;intermediates!$B$29,data!EH130,IF(A131&lt;intermediates!$B$31,data!$EH$69+(intermediates!$B$93-data!$EH$69)*(data!A131-intermediates!$B$29)/(intermediates!$B$31-intermediates!$B$29),intermediates!$B$93))</f>
        <v>2.522212345090466E-2</v>
      </c>
      <c r="EI131" s="212">
        <f t="shared" si="128"/>
        <v>2.522212345090466E-2</v>
      </c>
      <c r="EN131" s="218"/>
      <c r="EO131" s="212">
        <f t="shared" si="129"/>
        <v>3047.6996349678479</v>
      </c>
      <c r="EQ131" s="212">
        <f t="shared" si="130"/>
        <v>78.858433581370718</v>
      </c>
      <c r="ET131" s="214">
        <f>IF(A131&lt;intermediates!$B$29,ET130+intermediates!$B$63,ET130+intermediates!$B$63*intermediates!$B$67)</f>
        <v>1404.2381050036831</v>
      </c>
      <c r="EU131" s="215">
        <f t="shared" si="131"/>
        <v>1404.2381050036831</v>
      </c>
      <c r="EV131" s="216">
        <f>data!EU131*conversions!$C$13</f>
        <v>1.6331289161192835</v>
      </c>
      <c r="EX131" s="212">
        <f>intermediates!$B$64+intermediates!$B$64*(EXP(-(data!A131-intermediates!$B$66)/intermediates!$B$65)-1)</f>
        <v>6.8619685014228975E-3</v>
      </c>
      <c r="EY131" s="217">
        <f>IF(A131&lt;intermediates!$B$29,data!EX131,data!EY130+(data!EX131-data!EX130)*intermediates!$B$68)</f>
        <v>6.8619685014228975E-3</v>
      </c>
      <c r="EZ131" s="217">
        <f t="shared" si="132"/>
        <v>6.8619685014228975E-3</v>
      </c>
      <c r="FB131" s="212">
        <f>intermediates!$B$94+intermediates!$B$95+(intermediates!$B$95*(EXP(-(data!A131-intermediates!$B$97)/intermediates!$B$96)-1))</f>
        <v>1.5634248509984074</v>
      </c>
      <c r="FC131" s="217">
        <f>IF(A131&lt;intermediates!$B$29,data!FB131,data!FC130+(data!FB131-data!FB130)*intermediates!$B$68)</f>
        <v>1.5634248509984074</v>
      </c>
      <c r="FD131" s="212">
        <f t="shared" si="133"/>
        <v>1.5634248509984074</v>
      </c>
      <c r="FF131" s="184">
        <f>intermediates!$B$98+intermediates!$B$99*EXP(-(A131-intermediates!$B$101)/intermediates!$B$100)</f>
        <v>0.8975545317384519</v>
      </c>
      <c r="FG131" s="184">
        <f t="shared" si="101"/>
        <v>0.8975545317384519</v>
      </c>
      <c r="FI131" s="184">
        <f>intermediates!$B$102+intermediates!$B$103*EXP(-(A131-intermediates!$B$105)/intermediates!$B$104)</f>
        <v>1.5175851088698027E-2</v>
      </c>
      <c r="FJ131" s="184">
        <f t="shared" si="134"/>
        <v>1.5175851088698027E-2</v>
      </c>
      <c r="FL131" s="184">
        <f>intermediates!$B$106</f>
        <v>4.5616870531049965E-2</v>
      </c>
      <c r="FM131" s="184">
        <f t="shared" si="135"/>
        <v>4.5616870531049965E-2</v>
      </c>
      <c r="FN131" s="218">
        <f>IF(A131&lt;intermediates!$B$29,0,IF(A131&lt;intermediates!$B$31,(data!A131-intermediates!$B$29)/(intermediates!$B$31-intermediates!$B$29),1))</f>
        <v>1</v>
      </c>
      <c r="FO131" s="218">
        <f t="shared" si="232"/>
        <v>330012829268958.69</v>
      </c>
      <c r="FP131" s="218">
        <f t="shared" si="177"/>
        <v>367679976646950.63</v>
      </c>
      <c r="FQ131" s="218">
        <f t="shared" si="178"/>
        <v>2523008418355.2817</v>
      </c>
      <c r="FR131" s="218">
        <f t="shared" si="179"/>
        <v>574840012704356.75</v>
      </c>
      <c r="FS131" s="218">
        <f t="shared" si="180"/>
        <v>409360784795.716</v>
      </c>
      <c r="FT131" s="218">
        <f>intermediates!$B$69*data!EU131/intermediates!$B$71</f>
        <v>3.5742546922013481</v>
      </c>
      <c r="FU131" s="218">
        <f>BC131*conversions!$C$1*1000000</f>
        <v>25132191638630.18</v>
      </c>
      <c r="FV131" s="218">
        <f t="shared" si="184"/>
        <v>7031449575618.1025</v>
      </c>
      <c r="FX131" s="221"/>
      <c r="FY131" s="221"/>
      <c r="FZ131" s="221"/>
      <c r="GA131" s="218">
        <f t="shared" si="190"/>
        <v>1433.1769866919583</v>
      </c>
      <c r="GB131" s="218">
        <f>GA131*1000000*10000*intermediates!$B$71/(intermediates!$B$72*data!EU131)</f>
        <v>5012153267291.6445</v>
      </c>
      <c r="GC131" s="218">
        <f t="shared" si="233"/>
        <v>9082681529417.6328</v>
      </c>
      <c r="GD131" s="218">
        <f t="shared" si="144"/>
        <v>21535645157123.094</v>
      </c>
      <c r="GE131" s="218">
        <f t="shared" si="182"/>
        <v>22929597813874.766</v>
      </c>
      <c r="GF131" s="218">
        <f t="shared" si="183"/>
        <v>347976161947.09924</v>
      </c>
      <c r="GG131" s="218">
        <f t="shared" si="136"/>
        <v>1045976494804.5715</v>
      </c>
      <c r="GH131" s="218">
        <f t="shared" si="191"/>
        <v>9317693546320.6309</v>
      </c>
      <c r="GI131" s="218">
        <f t="shared" si="145"/>
        <v>174348767892.71875</v>
      </c>
      <c r="GJ131" s="218">
        <f>ET131*intermediates!$B$73/intermediates!$B$71</f>
        <v>5.3613820383020228</v>
      </c>
      <c r="GK131" s="218">
        <f>CL131*conversions!$C$1*1000000/data!GJ131</f>
        <v>4663353016660.5342</v>
      </c>
      <c r="GL131" s="218">
        <f>MIN(1,FN131)*(intermediates!$B$75-data!$GL$69)+data!$GL$69</f>
        <v>1</v>
      </c>
      <c r="GM131" s="218">
        <f>GL131*intermediates!$B$74*(FS131+GC131+GK131+GG131+GF131+GB131+FV131)</f>
        <v>4138942624580.2949</v>
      </c>
      <c r="GN131" s="218">
        <f>MIN(1,FN131)*intermediates!$B$76</f>
        <v>0.12</v>
      </c>
      <c r="GO131" s="218">
        <f t="shared" si="137"/>
        <v>3807827214613.8711</v>
      </c>
      <c r="GP131" s="218">
        <f>IF(A131&gt;intermediates!$B$29,MIN(1,(A131-intermediates!$B$29)/(intermediates!$B$31-intermediates!$B$29))*intermediates!$B$77,0)</f>
        <v>0.15</v>
      </c>
      <c r="GQ131" s="218">
        <f>IF(AND(A131&gt;intermediates!$B$29+intermediates!$B$30,data!GP131&lt;intermediates!$B$77),1,0)</f>
        <v>0</v>
      </c>
      <c r="GR131" s="218">
        <f t="shared" si="192"/>
        <v>7205893461843.75</v>
      </c>
      <c r="GS131" s="218">
        <f t="shared" si="193"/>
        <v>45268622549928.5</v>
      </c>
      <c r="GT131" s="218">
        <f t="shared" si="188"/>
        <v>86708720794625</v>
      </c>
      <c r="GU131" s="218">
        <f t="shared" si="194"/>
        <v>45875324510843.75</v>
      </c>
      <c r="GV131" s="218">
        <f t="shared" si="195"/>
        <v>31731893455115.594</v>
      </c>
      <c r="GW131" s="218">
        <f t="shared" si="196"/>
        <v>2770667195696.5</v>
      </c>
      <c r="GX131" s="218">
        <f>MIN(intermediates!$B$88,FN131*intermediates!$B$87*GO131)</f>
        <v>1903913607306.9355</v>
      </c>
      <c r="GY131" s="218">
        <f t="shared" si="197"/>
        <v>1903913607306.9355</v>
      </c>
      <c r="GZ131" s="218">
        <f>MIN(intermediates!$B$88-GX131,intermediates!$B$87*data!GW131*FN131)</f>
        <v>1385333597848.25</v>
      </c>
      <c r="HA131" s="218">
        <f t="shared" si="138"/>
        <v>1385333597848.25</v>
      </c>
      <c r="HB131" s="218">
        <f t="shared" si="139"/>
        <v>3289247205155.1855</v>
      </c>
      <c r="HC131" s="218">
        <f t="shared" si="198"/>
        <v>5812255623510.4668</v>
      </c>
      <c r="HD131" s="218">
        <f>HC131*intermediates!$B$79/(10000*1000000000)</f>
        <v>385.78384295210202</v>
      </c>
      <c r="HE131" s="218">
        <f>(GV131*intermediates!$B$80+GV131*GL131*intermediates!$B$82)/(10000*1000000000)</f>
        <v>1183.0647659175868</v>
      </c>
      <c r="HF131" s="218">
        <f>GU131*intermediates!$B$78/(10000*1000000000)</f>
        <v>4619.6154707550731</v>
      </c>
      <c r="HG131" s="218">
        <f>HB131*intermediates!$B$81/(10000*1000000000)</f>
        <v>826.79672012822004</v>
      </c>
      <c r="HH131" s="218">
        <f t="shared" si="199"/>
        <v>0</v>
      </c>
      <c r="HI131" s="218">
        <f t="shared" si="200"/>
        <v>17.352366426358458</v>
      </c>
      <c r="HJ131" s="218">
        <f t="shared" si="201"/>
        <v>-1.5828873727168684</v>
      </c>
      <c r="HK131" s="218">
        <f ca="1">SUM(HJ131:INDIRECT(ADDRESS(MAX(CELL("row",HJ131)-intermediates!$B$83,69),CELL("col",HJ131))))/intermediates!$B$83+SUM(HH131:INDIRECT(ADDRESS(MAX(CELL("row",HH131)-intermediates!$B$84,69),CELL("col",HH131))))/intermediates!$B$84+SUM(HI131:INDIRECT(ADDRESS(MAX(CELL("row",HI131)-intermediates!$B$85,69),CELL("col",HI131))))/intermediates!$B$85</f>
        <v>12.134540597998368</v>
      </c>
      <c r="HL131" s="218">
        <f t="shared" ca="1" si="163"/>
        <v>-531.03313915151739</v>
      </c>
      <c r="HM131" s="188">
        <f t="shared" si="202"/>
        <v>2075</v>
      </c>
      <c r="HQ131" s="185">
        <f t="shared" si="203"/>
        <v>934.25710000730567</v>
      </c>
      <c r="HR131" s="185">
        <f t="shared" si="204"/>
        <v>613.27470725091757</v>
      </c>
      <c r="HS131" s="185">
        <f t="shared" si="205"/>
        <v>437.15407394140448</v>
      </c>
      <c r="HT131" s="185">
        <f t="shared" si="206"/>
        <v>406.7321290359634</v>
      </c>
      <c r="HU131" s="185">
        <f t="shared" si="207"/>
        <v>360.99367550320426</v>
      </c>
      <c r="HV131" s="185">
        <f t="shared" si="208"/>
        <v>332.1141814629479</v>
      </c>
      <c r="HW131" s="185">
        <f t="shared" si="209"/>
        <v>628.48949647840652</v>
      </c>
      <c r="HX131" s="185">
        <f t="shared" si="210"/>
        <v>15.206493119104262</v>
      </c>
      <c r="HY131" s="185">
        <f t="shared" si="211"/>
        <v>220.05380718703654</v>
      </c>
      <c r="HZ131" s="185">
        <f t="shared" si="140"/>
        <v>3713.0153636801497</v>
      </c>
      <c r="IA131" s="185">
        <f t="shared" si="141"/>
        <v>3948.2756639862905</v>
      </c>
      <c r="IB131" s="185">
        <f t="shared" si="212"/>
        <v>2613.2301845738384</v>
      </c>
      <c r="IC131" s="185">
        <f t="shared" si="231"/>
        <v>4189.9299765227106</v>
      </c>
      <c r="ID131" s="185">
        <f t="shared" si="213"/>
        <v>3372.7019942470884</v>
      </c>
      <c r="IE131" s="184">
        <f t="shared" si="142"/>
        <v>-0.14140431430231531</v>
      </c>
      <c r="IF131" s="184">
        <f t="shared" si="143"/>
        <v>-7.1650063642923853E-2</v>
      </c>
    </row>
    <row r="132" spans="1:240" x14ac:dyDescent="0.3">
      <c r="A132" s="211">
        <v>2076</v>
      </c>
      <c r="E132" s="207">
        <v>8484339.9030000009</v>
      </c>
      <c r="F132" s="207">
        <v>10598274.172</v>
      </c>
      <c r="G132" s="207">
        <v>13080637.698000001</v>
      </c>
      <c r="I132" s="207">
        <f t="shared" si="164"/>
        <v>8484339903.000001</v>
      </c>
      <c r="J132" s="207">
        <f t="shared" si="164"/>
        <v>10598274172</v>
      </c>
      <c r="K132" s="207">
        <f t="shared" si="164"/>
        <v>13080637698</v>
      </c>
      <c r="L132" s="187">
        <f>IF(intermediates!$B$4&gt;=2,(intermediates!$B$4-2)*K132+(1-(intermediates!$B$4-2))*J132,(intermediates!$B$4-1)*J132+(1-(intermediates!$B$4-1))*I132)</f>
        <v>11514910380.399483</v>
      </c>
      <c r="AJ132" s="184">
        <f>IF(intermediates!$B$46=0,$AJ$74+(intermediates!$B$15-$AJ$74)*MIN(1,(data!A132-data!$A$74)/(intermediates!$B$32-data!$A$74)),IF(A132&lt;2021,$AJ$74+(intermediates!$B$15-$AJ$74)*MIN(1,(data!A132-data!$A$74)/(intermediates!$B$32-data!$A$74)),intermediates!$B$47+(intermediates!$B$15-intermediates!$B$47)*MIN(1,(data!A132-$A$77)/(intermediates!$B$32-$A$77))))</f>
        <v>27400</v>
      </c>
      <c r="AK132" s="192">
        <f t="shared" si="146"/>
        <v>27400</v>
      </c>
      <c r="AL132" s="192">
        <f t="shared" si="234"/>
        <v>315508544422945.81</v>
      </c>
      <c r="AM132" s="192">
        <f>data!AL132/(1000000*conversions!$C$1)</f>
        <v>27043.589521966784</v>
      </c>
      <c r="AN132" s="192">
        <f>IF(intermediates!$B$13=1,($AJ$74+(27400-$AJ$74)*MIN(1,(data!A132-data!$A$74)/(intermediates!$B$32-data!$A$74)))*L132/(1000000*conversions!$C$1),data!AM132)</f>
        <v>27043.589521966784</v>
      </c>
      <c r="AV132" s="214">
        <f>IF(A132&lt;intermediates!$B$29,0,IF(A132&lt;intermediates!$B$31,(data!A132-intermediates!$B$29)*intermediates!$B$26/(intermediates!$B$31-intermediates!$B$29),intermediates!$B$26))</f>
        <v>10</v>
      </c>
      <c r="AW132" s="212">
        <f>MIN(AW131+intermediates!$B$16,intermediates!$B$17*data!$AW$74)</f>
        <v>1897.5897864678325</v>
      </c>
      <c r="AX132" s="212">
        <f>AV132*1000/conversions!$C$16/intermediates!$B$40</f>
        <v>8187.0584968062822</v>
      </c>
      <c r="AY132" s="212">
        <f>AX132*(1-intermediates!$B$39)*intermediates!$B$28/(conversions!$C$2)</f>
        <v>2143.0300372958864</v>
      </c>
      <c r="AZ132" s="213">
        <f>IF(A132&lt;intermediates!$B$29,0,MIN(intermediates!$B$25,intermediates!$B$25*(A132-intermediates!$B$29)/(intermediates!$B$31-intermediates!$B$29)))</f>
        <v>0</v>
      </c>
      <c r="BA132" s="212">
        <f>IF(A132&lt;intermediates!$B$29,data!$BA$74,IF(intermediates!$B$23&gt;data!$BA$74,MIN(intermediates!$B$23,data!$BA$74+(intermediates!$B$23-data!$BA$74)*((data!A132-intermediates!$B$29)/(intermediates!$B$31-intermediates!$B$29))),MAX(intermediates!$B$23,data!$BA$74+(intermediates!$B$23-data!$BA$74)*((data!A132-intermediates!$B$29)/(intermediates!$B$31-intermediates!$B$29)))))</f>
        <v>0.08</v>
      </c>
      <c r="BB132" s="212">
        <f t="shared" si="214"/>
        <v>2163.4871617573426</v>
      </c>
      <c r="BC132" s="212">
        <f t="shared" si="166"/>
        <v>2163.4871617573426</v>
      </c>
      <c r="BD132" s="212">
        <f t="shared" si="167"/>
        <v>0</v>
      </c>
      <c r="BE132" s="214">
        <f>MAX(0,MIN(1,(data!A132-intermediates!$B$29)/(intermediates!$B$31-intermediates!$B$29)))*((intermediates!$B$38*L132)-$BE$69*1000000000)/1000000000+$BE$69</f>
        <v>1439.3637975499353</v>
      </c>
      <c r="BF132" s="214">
        <f t="shared" si="99"/>
        <v>1439.3637975499353</v>
      </c>
      <c r="BG132" s="214">
        <f t="shared" si="168"/>
        <v>0</v>
      </c>
      <c r="BH132" s="214">
        <f>BD132*conversions!$C$2/conversions!$C$17+BG132*conversions!$C$6/conversions!$C$10</f>
        <v>0</v>
      </c>
      <c r="BI132" s="214">
        <f>BH132*intermediates!$B$41*conversions!$C$11/(conversions!$C$2*conversions!$C$6*intermediates!$B$42)</f>
        <v>0</v>
      </c>
      <c r="BJ132" s="214">
        <f>BH132*intermediates!$B$43/(conversions!$C$1*intermediates!$B$42)</f>
        <v>0</v>
      </c>
      <c r="BK132" s="214">
        <f t="shared" si="215"/>
        <v>0</v>
      </c>
      <c r="BL132" s="214">
        <f t="shared" si="216"/>
        <v>27043.589521966784</v>
      </c>
      <c r="BM132" s="214">
        <f t="shared" si="217"/>
        <v>20839.482536445721</v>
      </c>
      <c r="BN132" s="214">
        <f>IF(A132&lt;intermediates!$B$29,MIN(BO131+intermediates!$B$33*AN131),MIN(BO131*intermediates!$B$35,BO131+intermediates!$B$37*AN131))</f>
        <v>21539.992784578688</v>
      </c>
      <c r="BO132" s="212">
        <f>IF(A132&lt;intermediates!$B$29,MIN(BM132,BO131+intermediates!$B$33*AN131),MIN(BM132,BO131*intermediates!$B$35,BO131+intermediates!$B$37*AN131))</f>
        <v>20839.482536445721</v>
      </c>
      <c r="BP132" s="214">
        <f t="shared" si="218"/>
        <v>700.51024813296681</v>
      </c>
      <c r="BQ132" s="214">
        <f t="shared" si="219"/>
        <v>0</v>
      </c>
      <c r="BR132" s="212" t="str">
        <f t="shared" si="235"/>
        <v/>
      </c>
      <c r="BS132" s="212">
        <f>BP132*conversions!$C$1*intermediates!$B$42/intermediates!$B$43</f>
        <v>1563.4523549656199</v>
      </c>
      <c r="BT132" s="214">
        <f>MIN(BT131+BS132,intermediates!$B$27*1000)</f>
        <v>0</v>
      </c>
      <c r="BU132" s="219" t="str">
        <f>IF(AND(BT132=intermediates!$B$27*1000,BT131&lt;&gt;intermediates!$B$27*1000),A132,"")</f>
        <v/>
      </c>
      <c r="BV132" s="212">
        <f>BT132*intermediates!$B$43/(conversions!$C$1*intermediates!$B$42)</f>
        <v>0</v>
      </c>
      <c r="BW132" s="214">
        <f t="shared" si="220"/>
        <v>27043.589521966784</v>
      </c>
      <c r="BX132" s="214">
        <f t="shared" si="221"/>
        <v>20839.482536445721</v>
      </c>
      <c r="BY132" s="227">
        <f>IF(OR(BQ132&gt;0,BT132&lt;&gt;intermediates!$B$27*1000),MAX(0,(BX132-BX131)/AM131),0.000000000001)</f>
        <v>9.9999999999999998E-13</v>
      </c>
      <c r="BZ132" s="322">
        <f>BH132*intermediates!$B$49*1000000</f>
        <v>0</v>
      </c>
      <c r="CA132" s="322">
        <f>BI132*conversions!$C$1*1000000*intermediates!$B$50</f>
        <v>0</v>
      </c>
      <c r="CB132" s="322">
        <f>BT132*1000000*intermediates!$B$49</f>
        <v>0</v>
      </c>
      <c r="CC132" s="214">
        <f>BW132*conversions!$C$1*1000000/L132</f>
        <v>27400</v>
      </c>
      <c r="CD132" s="173">
        <f t="shared" si="189"/>
        <v>2076</v>
      </c>
      <c r="CE132" s="173"/>
      <c r="CF132" s="173"/>
      <c r="CG132" s="173"/>
      <c r="CH132" s="173"/>
      <c r="CI132" s="173">
        <f t="shared" si="222"/>
        <v>0</v>
      </c>
      <c r="CJ132" s="173">
        <f t="shared" si="223"/>
        <v>1897.5897864678325</v>
      </c>
      <c r="CK132" s="173">
        <f t="shared" si="224"/>
        <v>2163.4871617573426</v>
      </c>
      <c r="CL132" s="173">
        <f t="shared" si="225"/>
        <v>2143.0300372958864</v>
      </c>
      <c r="CM132" s="173"/>
      <c r="CN132" s="173"/>
      <c r="CO132" s="329">
        <f t="shared" si="169"/>
        <v>20839.482536445721</v>
      </c>
      <c r="CP132" s="174">
        <f t="shared" si="226"/>
        <v>0</v>
      </c>
      <c r="CQ132" s="228">
        <f t="shared" si="227"/>
        <v>10</v>
      </c>
      <c r="CR132" s="228">
        <f t="shared" si="170"/>
        <v>405</v>
      </c>
      <c r="CS132" s="214">
        <f t="shared" ca="1" si="228"/>
        <v>-23.38721456670001</v>
      </c>
      <c r="CT132" s="190">
        <f t="shared" ca="1" si="229"/>
        <v>-2.0310374804574591</v>
      </c>
      <c r="CU132" s="190">
        <f t="shared" ca="1" si="236"/>
        <v>-23.38721456670001</v>
      </c>
      <c r="CV132" s="198">
        <f t="shared" si="174"/>
        <v>3203.9310777670239</v>
      </c>
      <c r="CW132" s="198">
        <f t="shared" ca="1" si="171"/>
        <v>3796.8898451957907</v>
      </c>
      <c r="CX132" s="198">
        <f t="shared" ca="1" si="230"/>
        <v>3316.5770023518435</v>
      </c>
      <c r="CY132" s="198">
        <f t="shared" ca="1" si="173"/>
        <v>-480.31284284394712</v>
      </c>
      <c r="CZ132" s="199">
        <f ca="1">IF(CX132&lt;intermediates!$B$55,intermediates!$B$56+(CX132-intermediates!$B$55)*intermediates!$B$53,intermediates!$B$56+(data!CX132-intermediates!$B$55)*intermediates!$B$58)</f>
        <v>1.7726453273776106</v>
      </c>
      <c r="DG132" s="201">
        <f>IF(A132&gt;MAX(intermediates!B$31,intermediates!$B$32),DG131,DG131+intermediates!$B$60*DG$73)</f>
        <v>19505207416250</v>
      </c>
      <c r="DH132" s="201">
        <f>IF(A132&gt;MAX(intermediates!B$31,intermediates!$B$32),DH131,DH131+intermediates!$B$61*DH$73)</f>
        <v>28534082329375</v>
      </c>
      <c r="DI132" s="201">
        <f>IF(A132&gt;MAX(intermediates!B$31,intermediates!$B$32),DI131,DI131+intermediates!$B$62*DI$73)</f>
        <v>38669431049000</v>
      </c>
      <c r="DJ132" s="221"/>
      <c r="EE132" s="218"/>
      <c r="EF132" s="212">
        <f>$EF$69+intermediates!$B$90*(A132-2013)*intermediates!$B$92+intermediates!$B$91*intermediates!$B$92*(A132-2013)^2</f>
        <v>3129.4417585492183</v>
      </c>
      <c r="EH132" s="212">
        <f>IF(A132&lt;intermediates!$B$29,data!EH131,IF(A132&lt;intermediates!$B$31,data!$EH$69+(intermediates!$B$93-data!$EH$69)*(data!A132-intermediates!$B$29)/(intermediates!$B$31-intermediates!$B$29),intermediates!$B$93))</f>
        <v>2.522212345090466E-2</v>
      </c>
      <c r="EI132" s="212">
        <f t="shared" si="128"/>
        <v>2.522212345090466E-2</v>
      </c>
      <c r="EN132" s="218"/>
      <c r="EO132" s="212">
        <f t="shared" si="129"/>
        <v>3050.5105921826735</v>
      </c>
      <c r="EQ132" s="212">
        <f t="shared" si="130"/>
        <v>78.931166366544858</v>
      </c>
      <c r="ET132" s="214">
        <f>IF(A132&lt;intermediates!$B$29,ET131+intermediates!$B$63,ET131+intermediates!$B$63*intermediates!$B$67)</f>
        <v>1414.2136943951259</v>
      </c>
      <c r="EU132" s="215">
        <f t="shared" si="131"/>
        <v>1414.2136943951259</v>
      </c>
      <c r="EV132" s="216">
        <f>data!EU132*conversions!$C$13</f>
        <v>1.6447305265815313</v>
      </c>
      <c r="EX132" s="212">
        <f>intermediates!$B$64+intermediates!$B$64*(EXP(-(data!A132-intermediates!$B$66)/intermediates!$B$65)-1)</f>
        <v>6.7344011686409078E-3</v>
      </c>
      <c r="EY132" s="217">
        <f>IF(A132&lt;intermediates!$B$29,data!EX132,data!EY131+(data!EX132-data!EX131)*intermediates!$B$68)</f>
        <v>6.7344011686409078E-3</v>
      </c>
      <c r="EZ132" s="217">
        <f t="shared" si="132"/>
        <v>6.7344011686409078E-3</v>
      </c>
      <c r="FB132" s="212">
        <f>intermediates!$B$94+intermediates!$B$95+(intermediates!$B$95*(EXP(-(data!A132-intermediates!$B$97)/intermediates!$B$96)-1))</f>
        <v>1.5616952262312995</v>
      </c>
      <c r="FC132" s="217">
        <f>IF(A132&lt;intermediates!$B$29,data!FB132,data!FC131+(data!FB132-data!FB131)*intermediates!$B$68)</f>
        <v>1.5616952262312995</v>
      </c>
      <c r="FD132" s="212">
        <f t="shared" si="133"/>
        <v>1.5616952262312995</v>
      </c>
      <c r="FF132" s="184">
        <f>intermediates!$B$98+intermediates!$B$99*EXP(-(A132-intermediates!$B$101)/intermediates!$B$100)</f>
        <v>0.89782684792336132</v>
      </c>
      <c r="FG132" s="184">
        <f t="shared" si="101"/>
        <v>0.89782684792336132</v>
      </c>
      <c r="FI132" s="184">
        <f>intermediates!$B$102+intermediates!$B$103*EXP(-(A132-intermediates!$B$105)/intermediates!$B$104)</f>
        <v>1.5108332451712373E-2</v>
      </c>
      <c r="FJ132" s="184">
        <f t="shared" si="134"/>
        <v>1.5108332451712373E-2</v>
      </c>
      <c r="FL132" s="184">
        <f>intermediates!$B$106</f>
        <v>4.5616870531049965E-2</v>
      </c>
      <c r="FM132" s="184">
        <f t="shared" si="135"/>
        <v>4.5616870531049965E-2</v>
      </c>
      <c r="FN132" s="218">
        <f>IF(A132&lt;intermediates!$B$29,0,IF(A132&lt;intermediates!$B$31,(data!A132-intermediates!$B$29)/(intermediates!$B$31-intermediates!$B$29),1))</f>
        <v>1</v>
      </c>
      <c r="FO132" s="218">
        <f t="shared" si="232"/>
        <v>331743137029875.56</v>
      </c>
      <c r="FP132" s="218">
        <f t="shared" si="177"/>
        <v>369495674803203.5</v>
      </c>
      <c r="FQ132" s="218">
        <f t="shared" si="178"/>
        <v>2488332104202.4546</v>
      </c>
      <c r="FR132" s="218">
        <f t="shared" si="179"/>
        <v>577039631453275.63</v>
      </c>
      <c r="FS132" s="218">
        <f t="shared" si="180"/>
        <v>408028598323.02893</v>
      </c>
      <c r="FT132" s="218">
        <f>intermediates!$B$69*data!EU132/intermediates!$B$71</f>
        <v>3.5996458969142728</v>
      </c>
      <c r="FU132" s="218">
        <f>BC132*conversions!$C$1*1000000</f>
        <v>25240683553835.664</v>
      </c>
      <c r="FV132" s="218">
        <f t="shared" si="184"/>
        <v>7011990700383.2666</v>
      </c>
      <c r="FX132" s="221"/>
      <c r="FY132" s="221"/>
      <c r="FZ132" s="221"/>
      <c r="GA132" s="218">
        <f t="shared" si="190"/>
        <v>1439.3637975499353</v>
      </c>
      <c r="GB132" s="218">
        <f>GA132*1000000*10000*intermediates!$B$71/(intermediates!$B$72*data!EU132)</f>
        <v>4998282604629.9512</v>
      </c>
      <c r="GC132" s="218">
        <f t="shared" si="233"/>
        <v>9065900027181.0859</v>
      </c>
      <c r="GD132" s="218">
        <f t="shared" si="144"/>
        <v>21484201930517.332</v>
      </c>
      <c r="GE132" s="218">
        <f t="shared" si="182"/>
        <v>22873180456606.09</v>
      </c>
      <c r="GF132" s="218">
        <f t="shared" si="183"/>
        <v>345575614566.41504</v>
      </c>
      <c r="GG132" s="218">
        <f t="shared" si="136"/>
        <v>1043402911522.3423</v>
      </c>
      <c r="GH132" s="218">
        <f t="shared" si="191"/>
        <v>9300477827088.3105</v>
      </c>
      <c r="GI132" s="218">
        <f t="shared" si="145"/>
        <v>173450798415.80469</v>
      </c>
      <c r="GJ132" s="218">
        <f>ET132*intermediates!$B$73/intermediates!$B$71</f>
        <v>5.399468845371409</v>
      </c>
      <c r="GK132" s="218">
        <f>CL132*conversions!$C$1*1000000/data!GJ132</f>
        <v>4630458628021.873</v>
      </c>
      <c r="GL132" s="218">
        <f>MIN(1,FN132)*(intermediates!$B$75-data!$GL$69)+data!$GL$69</f>
        <v>1</v>
      </c>
      <c r="GM132" s="218">
        <f>GL132*intermediates!$B$74*(FS132+GC132+GK132+GG132+GF132+GB132+FV132)</f>
        <v>4125545862694.1938</v>
      </c>
      <c r="GN132" s="218">
        <f>MIN(1,FN132)*intermediates!$B$76</f>
        <v>0.12</v>
      </c>
      <c r="GO132" s="218">
        <f t="shared" si="137"/>
        <v>3795502193678.6582</v>
      </c>
      <c r="GP132" s="218">
        <f>IF(A132&gt;intermediates!$B$29,MIN(1,(A132-intermediates!$B$29)/(intermediates!$B$31-intermediates!$B$29))*intermediates!$B$77,0)</f>
        <v>0.15</v>
      </c>
      <c r="GQ132" s="218">
        <f>IF(AND(A132&gt;intermediates!$B$29+intermediates!$B$30,data!GP132&lt;intermediates!$B$77),1,0)</f>
        <v>0</v>
      </c>
      <c r="GR132" s="218">
        <f t="shared" si="192"/>
        <v>7205893461843.75</v>
      </c>
      <c r="GS132" s="218">
        <f t="shared" si="193"/>
        <v>45118912707047.023</v>
      </c>
      <c r="GT132" s="218">
        <f t="shared" si="188"/>
        <v>86708720794625</v>
      </c>
      <c r="GU132" s="218">
        <f t="shared" si="194"/>
        <v>45875324510843.75</v>
      </c>
      <c r="GV132" s="218">
        <f t="shared" si="195"/>
        <v>31629184947322.156</v>
      </c>
      <c r="GW132" s="218">
        <f t="shared" si="196"/>
        <v>2920377038577.9766</v>
      </c>
      <c r="GX132" s="218">
        <f>MIN(intermediates!$B$88,FN132*intermediates!$B$87*GO132)</f>
        <v>1897751096839.3291</v>
      </c>
      <c r="GY132" s="218">
        <f t="shared" si="197"/>
        <v>1897751096839.3291</v>
      </c>
      <c r="GZ132" s="218">
        <f>MIN(intermediates!$B$88-GX132,intermediates!$B$87*data!GW132*FN132)</f>
        <v>1460188519288.9883</v>
      </c>
      <c r="HA132" s="218">
        <f t="shared" si="138"/>
        <v>1460188519288.9883</v>
      </c>
      <c r="HB132" s="218">
        <f t="shared" si="139"/>
        <v>3357939616128.3174</v>
      </c>
      <c r="HC132" s="218">
        <f t="shared" si="198"/>
        <v>5846271720330.7715</v>
      </c>
      <c r="HD132" s="218">
        <f>HC132*intermediates!$B$79/(10000*1000000000)</f>
        <v>388.04163431635072</v>
      </c>
      <c r="HE132" s="218">
        <f>(GV132*intermediates!$B$80+GV132*GL132*intermediates!$B$82)/(10000*1000000000)</f>
        <v>1179.2354697899457</v>
      </c>
      <c r="HF132" s="218">
        <f>GU132*intermediates!$B$78/(10000*1000000000)</f>
        <v>4619.6154707550731</v>
      </c>
      <c r="HG132" s="218">
        <f>HB132*intermediates!$B$81/(10000*1000000000)</f>
        <v>844.06348560612992</v>
      </c>
      <c r="HH132" s="218">
        <f t="shared" si="199"/>
        <v>0</v>
      </c>
      <c r="HI132" s="218">
        <f t="shared" si="200"/>
        <v>17.266765477909871</v>
      </c>
      <c r="HJ132" s="218">
        <f t="shared" si="201"/>
        <v>-1.5715047633923973</v>
      </c>
      <c r="HK132" s="218">
        <f ca="1">SUM(HJ132:INDIRECT(ADDRESS(MAX(CELL("row",HJ132)-intermediates!$B$83,69),CELL("col",HJ132))))/intermediates!$B$83+SUM(HH132:INDIRECT(ADDRESS(MAX(CELL("row",HH132)-intermediates!$B$84,69),CELL("col",HH132))))/intermediates!$B$84+SUM(HI132:INDIRECT(ADDRESS(MAX(CELL("row",HI132)-intermediates!$B$85,69),CELL("col",HI132))))/intermediates!$B$85</f>
        <v>13.387214566700008</v>
      </c>
      <c r="HL132" s="218">
        <f t="shared" ca="1" si="163"/>
        <v>-517.64592458481741</v>
      </c>
      <c r="HM132" s="188">
        <f t="shared" si="202"/>
        <v>2076</v>
      </c>
      <c r="HQ132" s="185">
        <f t="shared" si="203"/>
        <v>928.31433333363236</v>
      </c>
      <c r="HR132" s="185">
        <f t="shared" si="204"/>
        <v>608.94878629007633</v>
      </c>
      <c r="HS132" s="185">
        <f t="shared" si="205"/>
        <v>434.07047380394351</v>
      </c>
      <c r="HT132" s="185">
        <f t="shared" si="206"/>
        <v>402.12719639605484</v>
      </c>
      <c r="HU132" s="185">
        <f t="shared" si="207"/>
        <v>358.2785906624718</v>
      </c>
      <c r="HV132" s="185">
        <f t="shared" si="208"/>
        <v>329.61630340947403</v>
      </c>
      <c r="HW132" s="185">
        <f t="shared" si="209"/>
        <v>625.78806293703508</v>
      </c>
      <c r="HX132" s="185">
        <f t="shared" si="210"/>
        <v>15.063147926105458</v>
      </c>
      <c r="HY132" s="185">
        <f t="shared" si="211"/>
        <v>216.09652372441025</v>
      </c>
      <c r="HZ132" s="185">
        <f t="shared" si="140"/>
        <v>3687.1437468326881</v>
      </c>
      <c r="IA132" s="185">
        <f t="shared" si="141"/>
        <v>3918.303418483204</v>
      </c>
      <c r="IB132" s="185">
        <f t="shared" si="212"/>
        <v>2613.2301845738384</v>
      </c>
      <c r="IC132" s="185">
        <f t="shared" si="231"/>
        <v>4171.920419580234</v>
      </c>
      <c r="ID132" s="185">
        <f t="shared" si="213"/>
        <v>3358.2051246202104</v>
      </c>
      <c r="IE132" s="184">
        <f t="shared" si="142"/>
        <v>-0.14435588499150145</v>
      </c>
      <c r="IF132" s="184">
        <f t="shared" si="143"/>
        <v>-7.5521593138451387E-2</v>
      </c>
    </row>
    <row r="133" spans="1:240" x14ac:dyDescent="0.3">
      <c r="A133" s="184">
        <v>2077</v>
      </c>
      <c r="E133" s="207">
        <v>8447965.4169999994</v>
      </c>
      <c r="F133" s="207">
        <v>10618420.909</v>
      </c>
      <c r="G133" s="207">
        <v>13179238.963</v>
      </c>
      <c r="I133" s="207">
        <f t="shared" si="164"/>
        <v>8447965416.999999</v>
      </c>
      <c r="J133" s="207">
        <f t="shared" si="164"/>
        <v>10618420909</v>
      </c>
      <c r="K133" s="207">
        <f t="shared" si="164"/>
        <v>13179238963</v>
      </c>
      <c r="L133" s="187">
        <f>IF(intermediates!$B$4&gt;=2,(intermediates!$B$4-2)*K133+(1-(intermediates!$B$4-2))*J133,(intermediates!$B$4-1)*J133+(1-(intermediates!$B$4-1))*I133)</f>
        <v>11564027193.830462</v>
      </c>
      <c r="AJ133" s="184">
        <f>IF(intermediates!$B$46=0,$AJ$74+(intermediates!$B$15-$AJ$74)*MIN(1,(data!A133-data!$A$74)/(intermediates!$B$32-data!$A$74)),IF(A133&lt;2021,$AJ$74+(intermediates!$B$15-$AJ$74)*MIN(1,(data!A133-data!$A$74)/(intermediates!$B$32-data!$A$74)),intermediates!$B$47+(intermediates!$B$15-intermediates!$B$47)*MIN(1,(data!A133-$A$77)/(intermediates!$B$32-$A$77))))</f>
        <v>27400</v>
      </c>
      <c r="AK133" s="192">
        <f t="shared" si="146"/>
        <v>27400</v>
      </c>
      <c r="AL133" s="192">
        <f t="shared" si="234"/>
        <v>316854345110954.63</v>
      </c>
      <c r="AM133" s="192">
        <f>data!AL133/(1000000*conversions!$C$1)</f>
        <v>27158.943866653255</v>
      </c>
      <c r="AN133" s="192">
        <f>IF(intermediates!$B$13=1,($AJ$74+(27400-$AJ$74)*MIN(1,(data!A133-data!$A$74)/(intermediates!$B$32-data!$A$74)))*L133/(1000000*conversions!$C$1),data!AM133)</f>
        <v>27158.943866653255</v>
      </c>
      <c r="AV133" s="214">
        <f>IF(A133&lt;intermediates!$B$29,0,IF(A133&lt;intermediates!$B$31,(data!A133-intermediates!$B$29)*intermediates!$B$26/(intermediates!$B$31-intermediates!$B$29),intermediates!$B$26))</f>
        <v>10</v>
      </c>
      <c r="AW133" s="212">
        <f>MIN(AW132+intermediates!$B$16,intermediates!$B$17*data!$AW$74)</f>
        <v>1897.5897864678325</v>
      </c>
      <c r="AX133" s="212">
        <f>AV133*1000/conversions!$C$16/intermediates!$B$40</f>
        <v>8187.0584968062822</v>
      </c>
      <c r="AY133" s="212">
        <f>AX133*(1-intermediates!$B$39)*intermediates!$B$28/(conversions!$C$2)</f>
        <v>2143.0300372958864</v>
      </c>
      <c r="AZ133" s="213">
        <f>IF(A133&lt;intermediates!$B$29,0,MIN(intermediates!$B$25,intermediates!$B$25*(A133-intermediates!$B$29)/(intermediates!$B$31-intermediates!$B$29)))</f>
        <v>0</v>
      </c>
      <c r="BA133" s="212">
        <f>IF(A133&lt;intermediates!$B$29,data!$BA$74,IF(intermediates!$B$23&gt;data!$BA$74,MIN(intermediates!$B$23,data!$BA$74+(intermediates!$B$23-data!$BA$74)*((data!A133-intermediates!$B$29)/(intermediates!$B$31-intermediates!$B$29))),MAX(intermediates!$B$23,data!$BA$74+(intermediates!$B$23-data!$BA$74)*((data!A133-intermediates!$B$29)/(intermediates!$B$31-intermediates!$B$29)))))</f>
        <v>0.08</v>
      </c>
      <c r="BB133" s="212">
        <f t="shared" si="214"/>
        <v>2172.7155093322604</v>
      </c>
      <c r="BC133" s="212">
        <f t="shared" si="166"/>
        <v>2172.7155093322604</v>
      </c>
      <c r="BD133" s="212">
        <f t="shared" si="167"/>
        <v>0</v>
      </c>
      <c r="BE133" s="214">
        <f>MAX(0,MIN(1,(data!A133-intermediates!$B$29)/(intermediates!$B$31-intermediates!$B$29)))*((intermediates!$B$38*L133)-$BE$69*1000000000)/1000000000+$BE$69</f>
        <v>1445.5033992288077</v>
      </c>
      <c r="BF133" s="214">
        <f t="shared" ref="BF133:BF156" si="237">BE133-BG133</f>
        <v>1445.5033992288077</v>
      </c>
      <c r="BG133" s="214">
        <f t="shared" si="168"/>
        <v>0</v>
      </c>
      <c r="BH133" s="214">
        <f>BD133*conversions!$C$2/conversions!$C$17+BG133*conversions!$C$6/conversions!$C$10</f>
        <v>0</v>
      </c>
      <c r="BI133" s="214">
        <f>BH133*intermediates!$B$41*conversions!$C$11/(conversions!$C$2*conversions!$C$6*intermediates!$B$42)</f>
        <v>0</v>
      </c>
      <c r="BJ133" s="214">
        <f>BH133*intermediates!$B$43/(conversions!$C$1*intermediates!$B$42)</f>
        <v>0</v>
      </c>
      <c r="BK133" s="214">
        <f t="shared" si="215"/>
        <v>0</v>
      </c>
      <c r="BL133" s="214">
        <f t="shared" si="216"/>
        <v>27158.943866653255</v>
      </c>
      <c r="BM133" s="214">
        <f t="shared" si="217"/>
        <v>20945.608533557275</v>
      </c>
      <c r="BN133" s="214">
        <f>IF(A133&lt;intermediates!$B$29,MIN(BO132+intermediates!$B$33*AN132),MIN(BO132*intermediates!$B$35,BO132+intermediates!$B$37*AN132))</f>
        <v>21650.420466092255</v>
      </c>
      <c r="BO133" s="212">
        <f>IF(A133&lt;intermediates!$B$29,MIN(BM133,BO132+intermediates!$B$33*AN132),MIN(BM133,BO132*intermediates!$B$35,BO132+intermediates!$B$37*AN132))</f>
        <v>20945.608533557275</v>
      </c>
      <c r="BP133" s="214">
        <f t="shared" si="218"/>
        <v>704.81193253497986</v>
      </c>
      <c r="BQ133" s="214">
        <f t="shared" si="219"/>
        <v>0</v>
      </c>
      <c r="BR133" s="212" t="str">
        <f t="shared" si="235"/>
        <v/>
      </c>
      <c r="BS133" s="212">
        <f>BP133*conversions!$C$1*intermediates!$B$42/intermediates!$B$43</f>
        <v>1573.0531832569563</v>
      </c>
      <c r="BT133" s="214">
        <f>MIN(BT132+BS133,intermediates!$B$27*1000)</f>
        <v>0</v>
      </c>
      <c r="BU133" s="219" t="str">
        <f>IF(AND(BT133=intermediates!$B$27*1000,BT132&lt;&gt;intermediates!$B$27*1000),A133,"")</f>
        <v/>
      </c>
      <c r="BV133" s="212">
        <f>BT133*intermediates!$B$43/(conversions!$C$1*intermediates!$B$42)</f>
        <v>0</v>
      </c>
      <c r="BW133" s="214">
        <f t="shared" si="220"/>
        <v>27158.943866653255</v>
      </c>
      <c r="BX133" s="214">
        <f t="shared" si="221"/>
        <v>20945.608533557275</v>
      </c>
      <c r="BY133" s="227">
        <f>IF(OR(BQ133&gt;0,BT133&lt;&gt;intermediates!$B$27*1000),MAX(0,(BX133-BX132)/AM132),0.000000000001)</f>
        <v>9.9999999999999998E-13</v>
      </c>
      <c r="BZ133" s="322">
        <f>BH133*intermediates!$B$49*1000000</f>
        <v>0</v>
      </c>
      <c r="CA133" s="322">
        <f>BI133*conversions!$C$1*1000000*intermediates!$B$50</f>
        <v>0</v>
      </c>
      <c r="CB133" s="322">
        <f>BT133*1000000*intermediates!$B$49</f>
        <v>0</v>
      </c>
      <c r="CC133" s="214">
        <f>BW133*conversions!$C$1*1000000/L133</f>
        <v>27400</v>
      </c>
      <c r="CD133" s="173">
        <f t="shared" si="189"/>
        <v>2077</v>
      </c>
      <c r="CE133" s="173"/>
      <c r="CF133" s="173"/>
      <c r="CG133" s="173"/>
      <c r="CH133" s="173"/>
      <c r="CI133" s="173">
        <f t="shared" si="222"/>
        <v>0</v>
      </c>
      <c r="CJ133" s="173">
        <f t="shared" si="223"/>
        <v>1897.5897864678325</v>
      </c>
      <c r="CK133" s="173">
        <f t="shared" si="224"/>
        <v>2172.7155093322604</v>
      </c>
      <c r="CL133" s="173">
        <f t="shared" si="225"/>
        <v>2143.0300372958864</v>
      </c>
      <c r="CM133" s="173"/>
      <c r="CN133" s="173"/>
      <c r="CO133" s="329">
        <f t="shared" si="169"/>
        <v>20945.608533557275</v>
      </c>
      <c r="CP133" s="174">
        <f t="shared" si="226"/>
        <v>0</v>
      </c>
      <c r="CQ133" s="228">
        <f t="shared" si="227"/>
        <v>10</v>
      </c>
      <c r="CR133" s="228">
        <f t="shared" si="170"/>
        <v>415</v>
      </c>
      <c r="CS133" s="214">
        <f t="shared" ca="1" si="228"/>
        <v>-24.71653594937775</v>
      </c>
      <c r="CT133" s="190">
        <f t="shared" ca="1" si="229"/>
        <v>-2.1373640458545706</v>
      </c>
      <c r="CU133" s="190">
        <f t="shared" ca="1" si="236"/>
        <v>-24.71653594937775</v>
      </c>
      <c r="CV133" s="198">
        <f t="shared" si="174"/>
        <v>3203.9310777670239</v>
      </c>
      <c r="CW133" s="198">
        <f t="shared" ca="1" si="171"/>
        <v>3796.8898451957907</v>
      </c>
      <c r="CX133" s="198">
        <f t="shared" ca="1" si="230"/>
        <v>3291.8604664024656</v>
      </c>
      <c r="CY133" s="198">
        <f t="shared" ca="1" si="173"/>
        <v>-505.0293787933249</v>
      </c>
      <c r="CZ133" s="199">
        <f ca="1">IF(CX133&lt;intermediates!$B$55,intermediates!$B$56+(CX133-intermediates!$B$55)*intermediates!$B$53,intermediates!$B$56+(data!CX133-intermediates!$B$55)*intermediates!$B$58)</f>
        <v>1.7592044825999869</v>
      </c>
      <c r="DG133" s="201">
        <f>IF(A133&gt;MAX(intermediates!B$31,intermediates!$B$32),DG132,DG132+intermediates!$B$60*DG$73)</f>
        <v>19505207416250</v>
      </c>
      <c r="DH133" s="201">
        <f>IF(A133&gt;MAX(intermediates!B$31,intermediates!$B$32),DH132,DH132+intermediates!$B$61*DH$73)</f>
        <v>28534082329375</v>
      </c>
      <c r="DI133" s="201">
        <f>IF(A133&gt;MAX(intermediates!B$31,intermediates!$B$32),DI132,DI132+intermediates!$B$62*DI$73)</f>
        <v>38669431049000</v>
      </c>
      <c r="DJ133" s="221"/>
      <c r="EE133" s="218"/>
      <c r="EF133" s="212">
        <f>$EF$69+intermediates!$B$90*(A133-2013)*intermediates!$B$92+intermediates!$B$91*intermediates!$B$92*(A133-2013)^2</f>
        <v>3132.2440485492189</v>
      </c>
      <c r="EH133" s="212">
        <f>IF(A133&lt;intermediates!$B$29,data!EH132,IF(A133&lt;intermediates!$B$31,data!$EH$69+(intermediates!$B$93-data!$EH$69)*(data!A133-intermediates!$B$29)/(intermediates!$B$31-intermediates!$B$29),intermediates!$B$93))</f>
        <v>2.522212345090466E-2</v>
      </c>
      <c r="EI133" s="212">
        <f t="shared" si="128"/>
        <v>2.522212345090466E-2</v>
      </c>
      <c r="EN133" s="218"/>
      <c r="EO133" s="212">
        <f t="shared" si="129"/>
        <v>3053.2422024783491</v>
      </c>
      <c r="EQ133" s="212">
        <f t="shared" si="130"/>
        <v>79.00184607086976</v>
      </c>
      <c r="ET133" s="214">
        <f>IF(A133&lt;intermediates!$B$29,ET132+intermediates!$B$63,ET132+intermediates!$B$63*intermediates!$B$67)</f>
        <v>1424.1892837865687</v>
      </c>
      <c r="EU133" s="215">
        <f t="shared" si="131"/>
        <v>1424.1892837865687</v>
      </c>
      <c r="EV133" s="216">
        <f>data!EU133*conversions!$C$13</f>
        <v>1.6563321370437794</v>
      </c>
      <c r="EX133" s="212">
        <f>intermediates!$B$64+intermediates!$B$64*(EXP(-(data!A133-intermediates!$B$66)/intermediates!$B$65)-1)</f>
        <v>6.609205374636707E-3</v>
      </c>
      <c r="EY133" s="217">
        <f>IF(A133&lt;intermediates!$B$29,data!EX133,data!EY132+(data!EX133-data!EX132)*intermediates!$B$68)</f>
        <v>6.609205374636707E-3</v>
      </c>
      <c r="EZ133" s="217">
        <f t="shared" si="132"/>
        <v>6.609205374636707E-3</v>
      </c>
      <c r="FB133" s="212">
        <f>intermediates!$B$94+intermediates!$B$95+(intermediates!$B$95*(EXP(-(data!A133-intermediates!$B$97)/intermediates!$B$96)-1))</f>
        <v>1.5600127691246259</v>
      </c>
      <c r="FC133" s="217">
        <f>IF(A133&lt;intermediates!$B$29,data!FB133,data!FC132+(data!FB133-data!FB132)*intermediates!$B$68)</f>
        <v>1.5600127691246259</v>
      </c>
      <c r="FD133" s="212">
        <f t="shared" si="133"/>
        <v>1.5600127691246259</v>
      </c>
      <c r="FF133" s="184">
        <f>intermediates!$B$98+intermediates!$B$99*EXP(-(A133-intermediates!$B$101)/intermediates!$B$100)</f>
        <v>0.89809320562579287</v>
      </c>
      <c r="FG133" s="184">
        <f t="shared" si="101"/>
        <v>0.89809320562579287</v>
      </c>
      <c r="FI133" s="184">
        <f>intermediates!$B$102+intermediates!$B$103*EXP(-(A133-intermediates!$B$105)/intermediates!$B$104)</f>
        <v>1.5042583624464711E-2</v>
      </c>
      <c r="FJ133" s="184">
        <f t="shared" si="134"/>
        <v>1.5042583624464711E-2</v>
      </c>
      <c r="FL133" s="184">
        <f>intermediates!$B$106</f>
        <v>4.5616870531049965E-2</v>
      </c>
      <c r="FM133" s="184">
        <f t="shared" si="135"/>
        <v>4.5616870531049965E-2</v>
      </c>
      <c r="FN133" s="218">
        <f>IF(A133&lt;intermediates!$B$29,0,IF(A133&lt;intermediates!$B$31,(data!A133-intermediates!$B$29)/(intermediates!$B$31-intermediates!$B$29),1))</f>
        <v>1</v>
      </c>
      <c r="FO133" s="218">
        <f t="shared" si="232"/>
        <v>333456516159116.31</v>
      </c>
      <c r="FP133" s="218">
        <f t="shared" si="177"/>
        <v>371293885835338.5</v>
      </c>
      <c r="FQ133" s="218">
        <f t="shared" si="178"/>
        <v>2453957545832.667</v>
      </c>
      <c r="FR133" s="218">
        <f t="shared" si="179"/>
        <v>579223203001029.13</v>
      </c>
      <c r="FS133" s="218">
        <f t="shared" si="180"/>
        <v>406703806576.19977</v>
      </c>
      <c r="FT133" s="218">
        <f>intermediates!$B$69*data!EU133/intermediates!$B$71</f>
        <v>3.6250371016271981</v>
      </c>
      <c r="FU133" s="218">
        <f>BC133*conversions!$C$1*1000000</f>
        <v>25348347608876.371</v>
      </c>
      <c r="FV133" s="218">
        <f t="shared" si="184"/>
        <v>6992576047703.916</v>
      </c>
      <c r="FX133" s="221"/>
      <c r="FY133" s="221"/>
      <c r="FZ133" s="221"/>
      <c r="GA133" s="218">
        <f t="shared" si="190"/>
        <v>1445.5033992288077</v>
      </c>
      <c r="GB133" s="218">
        <f>GA133*1000000*10000*intermediates!$B$71/(intermediates!$B$72*data!EU133)</f>
        <v>4984443464661.207</v>
      </c>
      <c r="GC133" s="218">
        <f t="shared" si="233"/>
        <v>9048894227178.5332</v>
      </c>
      <c r="GD133" s="218">
        <f t="shared" si="144"/>
        <v>21432617546119.855</v>
      </c>
      <c r="GE133" s="218">
        <f t="shared" si="182"/>
        <v>22816663925489.895</v>
      </c>
      <c r="GF133" s="218">
        <f t="shared" si="183"/>
        <v>343221575130.48901</v>
      </c>
      <c r="GG133" s="218">
        <f t="shared" si="136"/>
        <v>1040824804239.5508</v>
      </c>
      <c r="GH133" s="218">
        <f t="shared" si="191"/>
        <v>9283032006443.7578</v>
      </c>
      <c r="GI133" s="218">
        <f t="shared" si="145"/>
        <v>172566027310.97461</v>
      </c>
      <c r="GJ133" s="218">
        <f>ET133*intermediates!$B$73/intermediates!$B$71</f>
        <v>5.4375556524407971</v>
      </c>
      <c r="GK133" s="218">
        <f>CL133*conversions!$C$1*1000000/data!GJ133</f>
        <v>4598025050201.0947</v>
      </c>
      <c r="GL133" s="218">
        <f>MIN(1,FN133)*(intermediates!$B$75-data!$GL$69)+data!$GL$69</f>
        <v>1</v>
      </c>
      <c r="GM133" s="218">
        <f>GL133*intermediates!$B$74*(FS133+GC133+GK133+GG133+GF133+GB133+FV133)</f>
        <v>4112203346353.6484</v>
      </c>
      <c r="GN133" s="218">
        <f>MIN(1,FN133)*intermediates!$B$76</f>
        <v>0.12</v>
      </c>
      <c r="GO133" s="218">
        <f t="shared" si="137"/>
        <v>3783227078645.3564</v>
      </c>
      <c r="GP133" s="218">
        <f>IF(A133&gt;intermediates!$B$29,MIN(1,(A133-intermediates!$B$29)/(intermediates!$B$31-intermediates!$B$29))*intermediates!$B$77,0)</f>
        <v>0.15</v>
      </c>
      <c r="GQ133" s="218">
        <f>IF(AND(A133&gt;intermediates!$B$29+intermediates!$B$30,data!GP133&lt;intermediates!$B$77),1,0)</f>
        <v>0</v>
      </c>
      <c r="GR133" s="218">
        <f t="shared" si="192"/>
        <v>7205893461843.75</v>
      </c>
      <c r="GS133" s="218">
        <f t="shared" si="193"/>
        <v>44969970408366.414</v>
      </c>
      <c r="GT133" s="218">
        <f t="shared" ref="GT133:GT156" si="238">SUM(DG133:DI133)</f>
        <v>86708720794625</v>
      </c>
      <c r="GU133" s="218">
        <f t="shared" si="194"/>
        <v>45875324510843.75</v>
      </c>
      <c r="GV133" s="218">
        <f t="shared" si="195"/>
        <v>31526892322044.641</v>
      </c>
      <c r="GW133" s="218">
        <f t="shared" si="196"/>
        <v>3069319337258.5859</v>
      </c>
      <c r="GX133" s="218">
        <f>MIN(intermediates!$B$88,FN133*intermediates!$B$87*GO133)</f>
        <v>1891613539322.6782</v>
      </c>
      <c r="GY133" s="218">
        <f t="shared" si="197"/>
        <v>1891613539322.6782</v>
      </c>
      <c r="GZ133" s="218">
        <f>MIN(intermediates!$B$88-GX133,intermediates!$B$87*data!GW133*FN133)</f>
        <v>1534659668629.293</v>
      </c>
      <c r="HA133" s="218">
        <f t="shared" si="138"/>
        <v>1534659668629.293</v>
      </c>
      <c r="HB133" s="218">
        <f t="shared" si="139"/>
        <v>3426273207951.9712</v>
      </c>
      <c r="HC133" s="218">
        <f t="shared" si="198"/>
        <v>5880230753784.6387</v>
      </c>
      <c r="HD133" s="218">
        <f>HC133*intermediates!$B$79/(10000*1000000000)</f>
        <v>390.29563814505008</v>
      </c>
      <c r="HE133" s="218">
        <f>(GV133*intermediates!$B$80+GV133*GL133*intermediates!$B$82)/(10000*1000000000)</f>
        <v>1175.4216790702014</v>
      </c>
      <c r="HF133" s="218">
        <f>GU133*intermediates!$B$78/(10000*1000000000)</f>
        <v>4619.6154707550731</v>
      </c>
      <c r="HG133" s="218">
        <f>HB133*intermediates!$B$81/(10000*1000000000)</f>
        <v>861.24005704345734</v>
      </c>
      <c r="HH133" s="218">
        <f t="shared" si="199"/>
        <v>0</v>
      </c>
      <c r="HI133" s="218">
        <f t="shared" si="200"/>
        <v>17.176571437327425</v>
      </c>
      <c r="HJ133" s="218">
        <f t="shared" si="201"/>
        <v>-1.5597868910448938</v>
      </c>
      <c r="HK133" s="218">
        <f ca="1">SUM(HJ133:INDIRECT(ADDRESS(MAX(CELL("row",HJ133)-intermediates!$B$83,69),CELL("col",HJ133))))/intermediates!$B$83+SUM(HH133:INDIRECT(ADDRESS(MAX(CELL("row",HH133)-intermediates!$B$84,69),CELL("col",HH133))))/intermediates!$B$84+SUM(HI133:INDIRECT(ADDRESS(MAX(CELL("row",HI133)-intermediates!$B$85,69),CELL("col",HI133))))/intermediates!$B$85</f>
        <v>14.716535949377748</v>
      </c>
      <c r="HL133" s="218">
        <f t="shared" ca="1" si="163"/>
        <v>-502.92938863543964</v>
      </c>
      <c r="HM133" s="188">
        <f t="shared" si="202"/>
        <v>2077</v>
      </c>
      <c r="HQ133" s="185">
        <f t="shared" si="203"/>
        <v>922.43629377703326</v>
      </c>
      <c r="HR133" s="185">
        <f t="shared" si="204"/>
        <v>604.68346627847211</v>
      </c>
      <c r="HS133" s="185">
        <f t="shared" si="205"/>
        <v>431.03007119530673</v>
      </c>
      <c r="HT133" s="185">
        <f t="shared" si="206"/>
        <v>397.61451379621388</v>
      </c>
      <c r="HU133" s="185">
        <f t="shared" si="207"/>
        <v>355.60305051405925</v>
      </c>
      <c r="HV133" s="185">
        <f t="shared" si="208"/>
        <v>327.15480647293452</v>
      </c>
      <c r="HW133" s="185">
        <f t="shared" si="209"/>
        <v>623.13010347192676</v>
      </c>
      <c r="HX133" s="185">
        <f t="shared" si="210"/>
        <v>14.922658380035678</v>
      </c>
      <c r="HY133" s="185">
        <f t="shared" si="211"/>
        <v>212.20613759382033</v>
      </c>
      <c r="HZ133" s="185">
        <f t="shared" si="140"/>
        <v>3661.6523055059465</v>
      </c>
      <c r="IA133" s="185">
        <f t="shared" si="141"/>
        <v>3888.7811014798021</v>
      </c>
      <c r="IB133" s="185">
        <f t="shared" si="212"/>
        <v>2613.2301845738384</v>
      </c>
      <c r="IC133" s="185">
        <f t="shared" si="231"/>
        <v>4154.2006898128448</v>
      </c>
      <c r="ID133" s="185">
        <f t="shared" si="213"/>
        <v>3343.9415526133125</v>
      </c>
      <c r="IE133" s="184">
        <f t="shared" si="142"/>
        <v>-0.14729575160246697</v>
      </c>
      <c r="IF133" s="184">
        <f t="shared" si="143"/>
        <v>-7.9373273771969927E-2</v>
      </c>
    </row>
    <row r="134" spans="1:240" x14ac:dyDescent="0.3">
      <c r="A134" s="211">
        <v>2078</v>
      </c>
      <c r="E134" s="207">
        <v>8410348.2780000009</v>
      </c>
      <c r="F134" s="207">
        <v>10637736.819</v>
      </c>
      <c r="G134" s="207">
        <v>13278307.780999999</v>
      </c>
      <c r="I134" s="207">
        <f t="shared" si="164"/>
        <v>8410348278.000001</v>
      </c>
      <c r="J134" s="207">
        <f t="shared" si="164"/>
        <v>10637736819</v>
      </c>
      <c r="K134" s="207">
        <f t="shared" si="164"/>
        <v>13278307781</v>
      </c>
      <c r="L134" s="187">
        <f>IF(intermediates!$B$4&gt;=2,(intermediates!$B$4-2)*K134+(1-(intermediates!$B$4-2))*J134,(intermediates!$B$4-1)*J134+(1-(intermediates!$B$4-1))*I134)</f>
        <v>11612792619.355591</v>
      </c>
      <c r="AJ134" s="184">
        <f>IF(intermediates!$B$46=0,$AJ$74+(intermediates!$B$15-$AJ$74)*MIN(1,(data!A134-data!$A$74)/(intermediates!$B$32-data!$A$74)),IF(A134&lt;2021,$AJ$74+(intermediates!$B$15-$AJ$74)*MIN(1,(data!A134-data!$A$74)/(intermediates!$B$32-data!$A$74)),intermediates!$B$47+(intermediates!$B$15-intermediates!$B$47)*MIN(1,(data!A134-$A$77)/(intermediates!$B$32-$A$77))))</f>
        <v>27400</v>
      </c>
      <c r="AK134" s="192">
        <f t="shared" si="146"/>
        <v>27400</v>
      </c>
      <c r="AL134" s="192">
        <f t="shared" si="234"/>
        <v>318190517770343.19</v>
      </c>
      <c r="AM134" s="192">
        <f>data!AL134/(1000000*conversions!$C$1)</f>
        <v>27273.472951743704</v>
      </c>
      <c r="AN134" s="192">
        <f>IF(intermediates!$B$13=1,($AJ$74+(27400-$AJ$74)*MIN(1,(data!A134-data!$A$74)/(intermediates!$B$32-data!$A$74)))*L134/(1000000*conversions!$C$1),data!AM134)</f>
        <v>27273.472951743704</v>
      </c>
      <c r="AV134" s="214">
        <f>IF(A134&lt;intermediates!$B$29,0,IF(A134&lt;intermediates!$B$31,(data!A134-intermediates!$B$29)*intermediates!$B$26/(intermediates!$B$31-intermediates!$B$29),intermediates!$B$26))</f>
        <v>10</v>
      </c>
      <c r="AW134" s="212">
        <f>MIN(AW133+intermediates!$B$16,intermediates!$B$17*data!$AW$74)</f>
        <v>1897.5897864678325</v>
      </c>
      <c r="AX134" s="212">
        <f>AV134*1000/conversions!$C$16/intermediates!$B$40</f>
        <v>8187.0584968062822</v>
      </c>
      <c r="AY134" s="212">
        <f>AX134*(1-intermediates!$B$39)*intermediates!$B$28/(conversions!$C$2)</f>
        <v>2143.0300372958864</v>
      </c>
      <c r="AZ134" s="213">
        <f>IF(A134&lt;intermediates!$B$29,0,MIN(intermediates!$B$25,intermediates!$B$25*(A134-intermediates!$B$29)/(intermediates!$B$31-intermediates!$B$29)))</f>
        <v>0</v>
      </c>
      <c r="BA134" s="212">
        <f>IF(A134&lt;intermediates!$B$29,data!$BA$74,IF(intermediates!$B$23&gt;data!$BA$74,MIN(intermediates!$B$23,data!$BA$74+(intermediates!$B$23-data!$BA$74)*((data!A134-intermediates!$B$29)/(intermediates!$B$31-intermediates!$B$29))),MAX(intermediates!$B$23,data!$BA$74+(intermediates!$B$23-data!$BA$74)*((data!A134-intermediates!$B$29)/(intermediates!$B$31-intermediates!$B$29)))))</f>
        <v>0.08</v>
      </c>
      <c r="BB134" s="212">
        <f t="shared" si="214"/>
        <v>2181.8778361394966</v>
      </c>
      <c r="BC134" s="212">
        <f t="shared" si="166"/>
        <v>2181.8778361394966</v>
      </c>
      <c r="BD134" s="212">
        <f t="shared" si="167"/>
        <v>0</v>
      </c>
      <c r="BE134" s="214">
        <f>MAX(0,MIN(1,(data!A134-intermediates!$B$29)/(intermediates!$B$31-intermediates!$B$29)))*((intermediates!$B$38*L134)-$BE$69*1000000000)/1000000000+$BE$69</f>
        <v>1451.5990774194486</v>
      </c>
      <c r="BF134" s="214">
        <f t="shared" si="237"/>
        <v>1451.5990774194486</v>
      </c>
      <c r="BG134" s="214">
        <f t="shared" si="168"/>
        <v>0</v>
      </c>
      <c r="BH134" s="214">
        <f>BD134*conversions!$C$2/conversions!$C$17+BG134*conversions!$C$6/conversions!$C$10</f>
        <v>0</v>
      </c>
      <c r="BI134" s="214">
        <f>BH134*intermediates!$B$41*conversions!$C$11/(conversions!$C$2*conversions!$C$6*intermediates!$B$42)</f>
        <v>0</v>
      </c>
      <c r="BJ134" s="214">
        <f>BH134*intermediates!$B$43/(conversions!$C$1*intermediates!$B$42)</f>
        <v>0</v>
      </c>
      <c r="BK134" s="214">
        <f t="shared" si="215"/>
        <v>0</v>
      </c>
      <c r="BL134" s="214">
        <f t="shared" si="216"/>
        <v>27273.472951743704</v>
      </c>
      <c r="BM134" s="214">
        <f t="shared" si="217"/>
        <v>21050.975291840488</v>
      </c>
      <c r="BN134" s="214">
        <f>IF(A134&lt;intermediates!$B$29,MIN(BO133+intermediates!$B$33*AN133),MIN(BO133*intermediates!$B$35,BO133+intermediates!$B$37*AN133))</f>
        <v>21760.005516351313</v>
      </c>
      <c r="BO134" s="212">
        <f>IF(A134&lt;intermediates!$B$29,MIN(BM134,BO133+intermediates!$B$33*AN133),MIN(BM134,BO133*intermediates!$B$35,BO133+intermediates!$B$37*AN133))</f>
        <v>21050.975291840488</v>
      </c>
      <c r="BP134" s="214">
        <f t="shared" si="218"/>
        <v>709.03022451082506</v>
      </c>
      <c r="BQ134" s="214">
        <f t="shared" si="219"/>
        <v>0</v>
      </c>
      <c r="BR134" s="212" t="str">
        <f t="shared" si="235"/>
        <v/>
      </c>
      <c r="BS134" s="212">
        <f>BP134*conversions!$C$1*intermediates!$B$42/intermediates!$B$43</f>
        <v>1582.4678899527476</v>
      </c>
      <c r="BT134" s="214">
        <f>MIN(BT133+BS134,intermediates!$B$27*1000)</f>
        <v>0</v>
      </c>
      <c r="BU134" s="219" t="str">
        <f>IF(AND(BT134=intermediates!$B$27*1000,BT133&lt;&gt;intermediates!$B$27*1000),A134,"")</f>
        <v/>
      </c>
      <c r="BV134" s="212">
        <f>BT134*intermediates!$B$43/(conversions!$C$1*intermediates!$B$42)</f>
        <v>0</v>
      </c>
      <c r="BW134" s="214">
        <f t="shared" si="220"/>
        <v>27273.472951743704</v>
      </c>
      <c r="BX134" s="214">
        <f t="shared" si="221"/>
        <v>21050.975291840488</v>
      </c>
      <c r="BY134" s="227">
        <f>IF(OR(BQ134&gt;0,BT134&lt;&gt;intermediates!$B$27*1000),MAX(0,(BX134-BX133)/AM133),0.000000000001)</f>
        <v>9.9999999999999998E-13</v>
      </c>
      <c r="BZ134" s="322">
        <f>BH134*intermediates!$B$49*1000000</f>
        <v>0</v>
      </c>
      <c r="CA134" s="322">
        <f>BI134*conversions!$C$1*1000000*intermediates!$B$50</f>
        <v>0</v>
      </c>
      <c r="CB134" s="322">
        <f>BT134*1000000*intermediates!$B$49</f>
        <v>0</v>
      </c>
      <c r="CC134" s="214">
        <f>BW134*conversions!$C$1*1000000/L134</f>
        <v>27400</v>
      </c>
      <c r="CD134" s="173">
        <f t="shared" ref="CD134:CD156" si="239">A134</f>
        <v>2078</v>
      </c>
      <c r="CE134" s="173"/>
      <c r="CF134" s="173"/>
      <c r="CG134" s="173"/>
      <c r="CH134" s="173"/>
      <c r="CI134" s="173">
        <f t="shared" si="222"/>
        <v>0</v>
      </c>
      <c r="CJ134" s="173">
        <f t="shared" si="223"/>
        <v>1897.5897864678325</v>
      </c>
      <c r="CK134" s="173">
        <f t="shared" si="224"/>
        <v>2181.8778361394966</v>
      </c>
      <c r="CL134" s="173">
        <f t="shared" si="225"/>
        <v>2143.0300372958864</v>
      </c>
      <c r="CM134" s="173"/>
      <c r="CN134" s="173"/>
      <c r="CO134" s="329">
        <f t="shared" si="169"/>
        <v>21050.975291840488</v>
      </c>
      <c r="CP134" s="174">
        <f t="shared" si="226"/>
        <v>0</v>
      </c>
      <c r="CQ134" s="228">
        <f t="shared" si="227"/>
        <v>10</v>
      </c>
      <c r="CR134" s="228">
        <f t="shared" si="170"/>
        <v>425</v>
      </c>
      <c r="CS134" s="214">
        <f t="shared" ca="1" si="228"/>
        <v>-25.032098886805272</v>
      </c>
      <c r="CT134" s="190">
        <f t="shared" ca="1" si="229"/>
        <v>-2.1555623791199965</v>
      </c>
      <c r="CU134" s="190">
        <f t="shared" ca="1" si="236"/>
        <v>-25.032098886805276</v>
      </c>
      <c r="CV134" s="198">
        <f t="shared" si="174"/>
        <v>3203.9310777670239</v>
      </c>
      <c r="CW134" s="198">
        <f t="shared" ca="1" si="171"/>
        <v>3796.8898451957907</v>
      </c>
      <c r="CX134" s="198">
        <f t="shared" ca="1" si="230"/>
        <v>3266.8283675156604</v>
      </c>
      <c r="CY134" s="198">
        <f t="shared" ca="1" si="173"/>
        <v>-530.06147768013011</v>
      </c>
      <c r="CZ134" s="199">
        <f ca="1">IF(CX134&lt;intermediates!$B$55,intermediates!$B$56+(CX134-intermediates!$B$55)*intermediates!$B$53,intermediates!$B$56+(data!CX134-intermediates!$B$55)*intermediates!$B$58)</f>
        <v>1.7455920347923826</v>
      </c>
      <c r="DG134" s="201">
        <f>IF(A134&gt;MAX(intermediates!B$31,intermediates!$B$32),DG133,DG133+intermediates!$B$60*DG$73)</f>
        <v>19505207416250</v>
      </c>
      <c r="DH134" s="201">
        <f>IF(A134&gt;MAX(intermediates!B$31,intermediates!$B$32),DH133,DH133+intermediates!$B$61*DH$73)</f>
        <v>28534082329375</v>
      </c>
      <c r="DI134" s="201">
        <f>IF(A134&gt;MAX(intermediates!B$31,intermediates!$B$32),DI133,DI133+intermediates!$B$62*DI$73)</f>
        <v>38669431049000</v>
      </c>
      <c r="DJ134" s="221"/>
      <c r="EE134" s="218"/>
      <c r="EF134" s="212">
        <f>$EF$69+intermediates!$B$90*(A134-2013)*intermediates!$B$92+intermediates!$B$91*intermediates!$B$92*(A134-2013)^2</f>
        <v>3134.9649385492189</v>
      </c>
      <c r="EH134" s="212">
        <f>IF(A134&lt;intermediates!$B$29,data!EH133,IF(A134&lt;intermediates!$B$31,data!$EH$69+(intermediates!$B$93-data!$EH$69)*(data!A134-intermediates!$B$29)/(intermediates!$B$31-intermediates!$B$29),intermediates!$B$93))</f>
        <v>2.522212345090466E-2</v>
      </c>
      <c r="EI134" s="212">
        <f t="shared" si="128"/>
        <v>2.522212345090466E-2</v>
      </c>
      <c r="EN134" s="218"/>
      <c r="EO134" s="212">
        <f t="shared" si="129"/>
        <v>3055.8944658548726</v>
      </c>
      <c r="EQ134" s="212">
        <f t="shared" si="130"/>
        <v>79.070472694346336</v>
      </c>
      <c r="ET134" s="214">
        <f>IF(A134&lt;intermediates!$B$29,ET133+intermediates!$B$63,ET133+intermediates!$B$63*intermediates!$B$67)</f>
        <v>1434.1648731780115</v>
      </c>
      <c r="EU134" s="215">
        <f t="shared" si="131"/>
        <v>1434.1648731780115</v>
      </c>
      <c r="EV134" s="216">
        <f>data!EU134*conversions!$C$13</f>
        <v>1.6679337475060274</v>
      </c>
      <c r="EX134" s="212">
        <f>intermediates!$B$64+intermediates!$B$64*(EXP(-(data!A134-intermediates!$B$66)/intermediates!$B$65)-1)</f>
        <v>6.4863370313506686E-3</v>
      </c>
      <c r="EY134" s="217">
        <f>IF(A134&lt;intermediates!$B$29,data!EX134,data!EY133+(data!EX134-data!EX133)*intermediates!$B$68)</f>
        <v>6.4863370313506686E-3</v>
      </c>
      <c r="EZ134" s="217">
        <f t="shared" si="132"/>
        <v>6.4863370313506686E-3</v>
      </c>
      <c r="FB134" s="212">
        <f>intermediates!$B$94+intermediates!$B$95+(intermediates!$B$95*(EXP(-(data!A134-intermediates!$B$97)/intermediates!$B$96)-1))</f>
        <v>1.5583761933946603</v>
      </c>
      <c r="FC134" s="217">
        <f>IF(A134&lt;intermediates!$B$29,data!FB134,data!FC133+(data!FB134-data!FB133)*intermediates!$B$68)</f>
        <v>1.5583761933946603</v>
      </c>
      <c r="FD134" s="212">
        <f t="shared" si="133"/>
        <v>1.5583761933946603</v>
      </c>
      <c r="FF134" s="184">
        <f>intermediates!$B$98+intermediates!$B$99*EXP(-(A134-intermediates!$B$101)/intermediates!$B$100)</f>
        <v>0.89835373522181472</v>
      </c>
      <c r="FG134" s="184">
        <f t="shared" ref="FG134:FG156" si="240">FF134</f>
        <v>0.89835373522181472</v>
      </c>
      <c r="FI134" s="184">
        <f>intermediates!$B$102+intermediates!$B$103*EXP(-(A134-intermediates!$B$105)/intermediates!$B$104)</f>
        <v>1.4978558216407954E-2</v>
      </c>
      <c r="FJ134" s="184">
        <f t="shared" si="134"/>
        <v>1.4978558216407954E-2</v>
      </c>
      <c r="FL134" s="184">
        <f>intermediates!$B$106</f>
        <v>4.5616870531049965E-2</v>
      </c>
      <c r="FM134" s="184">
        <f t="shared" si="135"/>
        <v>4.5616870531049965E-2</v>
      </c>
      <c r="FN134" s="218">
        <f>IF(A134&lt;intermediates!$B$29,0,IF(A134&lt;intermediates!$B$31,(data!A134-intermediates!$B$29)/(intermediates!$B$31-intermediates!$B$29),1))</f>
        <v>1</v>
      </c>
      <c r="FO134" s="218">
        <f t="shared" si="232"/>
        <v>335153585625559.94</v>
      </c>
      <c r="FP134" s="218">
        <f t="shared" si="177"/>
        <v>373075295938749.94</v>
      </c>
      <c r="FQ134" s="218">
        <f t="shared" si="178"/>
        <v>2419892107529.6235</v>
      </c>
      <c r="FR134" s="218">
        <f t="shared" si="179"/>
        <v>581391659534615.5</v>
      </c>
      <c r="FS134" s="218">
        <f t="shared" si="180"/>
        <v>405386905235.164</v>
      </c>
      <c r="FT134" s="218">
        <f>intermediates!$B$69*data!EU134/intermediates!$B$71</f>
        <v>3.6504283063401228</v>
      </c>
      <c r="FU134" s="218">
        <f>BC134*conversions!$C$1*1000000</f>
        <v>25455241421627.457</v>
      </c>
      <c r="FV134" s="218">
        <f t="shared" si="184"/>
        <v>6973220478653.5273</v>
      </c>
      <c r="FX134" s="221"/>
      <c r="FY134" s="221"/>
      <c r="FZ134" s="221"/>
      <c r="GA134" s="218">
        <f t="shared" ref="GA134:GA156" si="241">BF134</f>
        <v>1451.5990774194486</v>
      </c>
      <c r="GB134" s="218">
        <f>GA134*1000000*10000*intermediates!$B$71/(intermediates!$B$72*data!EU134)</f>
        <v>4970646440646.0469</v>
      </c>
      <c r="GC134" s="218">
        <f t="shared" si="233"/>
        <v>9031685489750.916</v>
      </c>
      <c r="GD134" s="218">
        <f t="shared" si="144"/>
        <v>21380939314285.656</v>
      </c>
      <c r="GE134" s="218">
        <f t="shared" si="182"/>
        <v>22760097160031.57</v>
      </c>
      <c r="GF134" s="218">
        <f t="shared" si="183"/>
        <v>340913440322.63422</v>
      </c>
      <c r="GG134" s="218">
        <f t="shared" si="136"/>
        <v>1038244405423.2781</v>
      </c>
      <c r="GH134" s="218">
        <f t="shared" ref="GH134:GH156" si="242">L134*EF134*365/EU134</f>
        <v>9265377997421.168</v>
      </c>
      <c r="GI134" s="218">
        <f t="shared" si="145"/>
        <v>171694397564.91211</v>
      </c>
      <c r="GJ134" s="218">
        <f>ET134*intermediates!$B$73/intermediates!$B$71</f>
        <v>5.4756424595101842</v>
      </c>
      <c r="GK134" s="218">
        <f>CL134*conversions!$C$1*1000000/data!GJ134</f>
        <v>4566042667442.874</v>
      </c>
      <c r="GL134" s="218">
        <f>MIN(1,FN134)*(intermediates!$B$75-data!$GL$69)+data!$GL$69</f>
        <v>1</v>
      </c>
      <c r="GM134" s="218">
        <f>GL134*intermediates!$B$74*(FS134+GC134+GK134+GG134+GF134+GB134+FV134)</f>
        <v>4098920974121.166</v>
      </c>
      <c r="GN134" s="218">
        <f>MIN(1,FN134)*intermediates!$B$76</f>
        <v>0.12</v>
      </c>
      <c r="GO134" s="218">
        <f t="shared" si="137"/>
        <v>3771007296191.4727</v>
      </c>
      <c r="GP134" s="218">
        <f>IF(A134&gt;intermediates!$B$29,MIN(1,(A134-intermediates!$B$29)/(intermediates!$B$31-intermediates!$B$29))*intermediates!$B$77,0)</f>
        <v>0.15</v>
      </c>
      <c r="GQ134" s="218">
        <f>IF(AND(A134&gt;intermediates!$B$29+intermediates!$B$30,data!GP134&lt;intermediates!$B$77),1,0)</f>
        <v>0</v>
      </c>
      <c r="GR134" s="218">
        <f t="shared" ref="GR134:GR156" si="243">GP134*(DG134+DH134)</f>
        <v>7205893461843.75</v>
      </c>
      <c r="GS134" s="218">
        <f t="shared" ref="GS134:GS156" si="244">FQ134+FS134+FV134+GB134+GC134+GF134+GG134+GK134+GM134+GO134+GR134</f>
        <v>44821853667160.453</v>
      </c>
      <c r="GT134" s="218">
        <f t="shared" si="238"/>
        <v>86708720794625</v>
      </c>
      <c r="GU134" s="218">
        <f t="shared" ref="GU134:GU156" si="245">MIN((GT134-GS134),DI134)+GR134</f>
        <v>45875324510843.75</v>
      </c>
      <c r="GV134" s="218">
        <f t="shared" ref="GV134:GV156" si="246">FS134+FV134+GB134+GC134+GF134+GG134+GK134+GM134</f>
        <v>31425060801595.609</v>
      </c>
      <c r="GW134" s="218">
        <f t="shared" ref="GW134:GW156" si="247">MAX((DG134+DH134)-GS134,0)</f>
        <v>3217436078464.5469</v>
      </c>
      <c r="GX134" s="218">
        <f>MIN(intermediates!$B$88,FN134*intermediates!$B$87*GO134)</f>
        <v>1885503648095.7363</v>
      </c>
      <c r="GY134" s="218">
        <f t="shared" ref="GY134:GY156" si="248">GO134-GX134</f>
        <v>1885503648095.7363</v>
      </c>
      <c r="GZ134" s="218">
        <f>MIN(intermediates!$B$88-GX134,intermediates!$B$87*data!GW134*FN134)</f>
        <v>1608718039232.2734</v>
      </c>
      <c r="HA134" s="218">
        <f t="shared" si="138"/>
        <v>1608718039232.2734</v>
      </c>
      <c r="HB134" s="218">
        <f t="shared" si="139"/>
        <v>3494221687328.0098</v>
      </c>
      <c r="HC134" s="218">
        <f t="shared" ref="HC134:HC156" si="249">FQ134+GY134+HA134</f>
        <v>5914113794857.6328</v>
      </c>
      <c r="HD134" s="218">
        <f>HC134*intermediates!$B$79/(10000*1000000000)</f>
        <v>392.54459803992626</v>
      </c>
      <c r="HE134" s="218">
        <f>(GV134*intermediates!$B$80+GV134*GL134*intermediates!$B$82)/(10000*1000000000)</f>
        <v>1171.6250797883629</v>
      </c>
      <c r="HF134" s="218">
        <f>GU134*intermediates!$B$78/(10000*1000000000)</f>
        <v>4619.6154707550731</v>
      </c>
      <c r="HG134" s="218">
        <f>HB134*intermediates!$B$81/(10000*1000000000)</f>
        <v>878.31982526451395</v>
      </c>
      <c r="HH134" s="218">
        <f t="shared" ref="HH134:HH156" si="250">IF(HF134&gt;HF133,HF134-HF133,0)</f>
        <v>0</v>
      </c>
      <c r="HI134" s="218">
        <f t="shared" ref="HI134:HI156" si="251">IF(HG134&gt;HG133,HG134-HG133,0)</f>
        <v>17.079768221056611</v>
      </c>
      <c r="HJ134" s="218">
        <f t="shared" ref="HJ134:HJ156" si="252">IF(HF134&gt;HF133,0,HF134-HF133)+IF(HG134&gt;HG133,0,HG134-HG133)+(HD134-HD133)+(HE134-HE133)</f>
        <v>-1.5476393869623735</v>
      </c>
      <c r="HK134" s="218">
        <f ca="1">SUM(HJ134:INDIRECT(ADDRESS(MAX(CELL("row",HJ134)-intermediates!$B$83,69),CELL("col",HJ134))))/intermediates!$B$83+SUM(HH134:INDIRECT(ADDRESS(MAX(CELL("row",HH134)-intermediates!$B$84,69),CELL("col",HH134))))/intermediates!$B$84+SUM(HI134:INDIRECT(ADDRESS(MAX(CELL("row",HI134)-intermediates!$B$85,69),CELL("col",HI134))))/intermediates!$B$85</f>
        <v>15.032098886805272</v>
      </c>
      <c r="HL134" s="218">
        <f t="shared" ca="1" si="163"/>
        <v>-487.89728974863436</v>
      </c>
      <c r="HM134" s="188">
        <f t="shared" ref="HM134:HM156" si="253">A134</f>
        <v>2078</v>
      </c>
      <c r="HQ134" s="185">
        <f t="shared" ref="HQ134:HQ156" si="254">(GH134+GF134+GG134)/$L134</f>
        <v>916.62153902803095</v>
      </c>
      <c r="HR134" s="185">
        <f t="shared" ref="HR134:HR156" si="255">FV134/L134</f>
        <v>600.47748265399412</v>
      </c>
      <c r="HS134" s="185">
        <f t="shared" ref="HS134:HS156" si="256">GB134/$L134</f>
        <v>428.03196471116132</v>
      </c>
      <c r="HT134" s="185">
        <f t="shared" ref="HT134:HT156" si="257">GK134/L134</f>
        <v>393.19075239769933</v>
      </c>
      <c r="HU134" s="185">
        <f t="shared" ref="HU134:HU156" si="258">GM134/L134</f>
        <v>352.96600124325829</v>
      </c>
      <c r="HV134" s="185">
        <f t="shared" ref="HV134:HV156" si="259">GO134/L134</f>
        <v>324.7287211437976</v>
      </c>
      <c r="HW134" s="185">
        <f t="shared" ref="HW134:HW156" si="260">GR134/L134</f>
        <v>620.51340259304607</v>
      </c>
      <c r="HX134" s="185">
        <f t="shared" ref="HX134:HX156" si="261">GI134/$L134</f>
        <v>14.784936164169585</v>
      </c>
      <c r="HY134" s="185">
        <f t="shared" ref="HY134:HY156" si="262">FQ134/L134</f>
        <v>208.38158286718001</v>
      </c>
      <c r="HZ134" s="185">
        <f t="shared" si="140"/>
        <v>3636.5298637709875</v>
      </c>
      <c r="IA134" s="185">
        <f t="shared" si="141"/>
        <v>3859.6963828023372</v>
      </c>
      <c r="IB134" s="185">
        <f t="shared" ref="IB134:IB156" si="263">DG134/$L$72</f>
        <v>2613.2301845738384</v>
      </c>
      <c r="IC134" s="185">
        <f t="shared" si="231"/>
        <v>4136.7560172869744</v>
      </c>
      <c r="ID134" s="185">
        <f t="shared" ref="ID134:ID156" si="264">DI134/L134</f>
        <v>3329.8993891054101</v>
      </c>
      <c r="IE134" s="184">
        <f t="shared" si="142"/>
        <v>-0.15022260286680147</v>
      </c>
      <c r="IF134" s="184">
        <f t="shared" si="143"/>
        <v>-8.3203605307447526E-2</v>
      </c>
    </row>
    <row r="135" spans="1:240" x14ac:dyDescent="0.3">
      <c r="A135" s="211">
        <v>2079</v>
      </c>
      <c r="E135" s="207">
        <v>8371489.3399999896</v>
      </c>
      <c r="F135" s="207">
        <v>10656228.232999999</v>
      </c>
      <c r="G135" s="207">
        <v>13377904.427999999</v>
      </c>
      <c r="I135" s="207">
        <f t="shared" si="164"/>
        <v>8371489339.9999895</v>
      </c>
      <c r="J135" s="207">
        <f t="shared" si="164"/>
        <v>10656228233</v>
      </c>
      <c r="K135" s="207">
        <f t="shared" si="164"/>
        <v>13377904428</v>
      </c>
      <c r="L135" s="187">
        <f>IF(intermediates!$B$4&gt;=2,(intermediates!$B$4-2)*K135+(1-(intermediates!$B$4-2))*J135,(intermediates!$B$4-1)*J135+(1-(intermediates!$B$4-1))*I135)</f>
        <v>11661232907.676296</v>
      </c>
      <c r="AJ135" s="184">
        <f>IF(intermediates!$B$46=0,$AJ$74+(intermediates!$B$15-$AJ$74)*MIN(1,(data!A135-data!$A$74)/(intermediates!$B$32-data!$A$74)),IF(A135&lt;2021,$AJ$74+(intermediates!$B$15-$AJ$74)*MIN(1,(data!A135-data!$A$74)/(intermediates!$B$32-data!$A$74)),intermediates!$B$47+(intermediates!$B$15-intermediates!$B$47)*MIN(1,(data!A135-$A$77)/(intermediates!$B$32-$A$77))))</f>
        <v>27400</v>
      </c>
      <c r="AK135" s="192">
        <f t="shared" si="146"/>
        <v>27400</v>
      </c>
      <c r="AL135" s="192">
        <f t="shared" si="234"/>
        <v>319517781670330.5</v>
      </c>
      <c r="AM135" s="192">
        <f>data!AL135/(1000000*conversions!$C$1)</f>
        <v>27387.238428885474</v>
      </c>
      <c r="AN135" s="192">
        <f>IF(intermediates!$B$13=1,($AJ$74+(27400-$AJ$74)*MIN(1,(data!A135-data!$A$74)/(intermediates!$B$32-data!$A$74)))*L135/(1000000*conversions!$C$1),data!AM135)</f>
        <v>27387.238428885474</v>
      </c>
      <c r="AV135" s="214">
        <f>IF(A135&lt;intermediates!$B$29,0,IF(A135&lt;intermediates!$B$31,(data!A135-intermediates!$B$29)*intermediates!$B$26/(intermediates!$B$31-intermediates!$B$29),intermediates!$B$26))</f>
        <v>10</v>
      </c>
      <c r="AW135" s="212">
        <f>MIN(AW134+intermediates!$B$16,intermediates!$B$17*data!$AW$74)</f>
        <v>1897.5897864678325</v>
      </c>
      <c r="AX135" s="212">
        <f>AV135*1000/conversions!$C$16/intermediates!$B$40</f>
        <v>8187.0584968062822</v>
      </c>
      <c r="AY135" s="212">
        <f>AX135*(1-intermediates!$B$39)*intermediates!$B$28/(conversions!$C$2)</f>
        <v>2143.0300372958864</v>
      </c>
      <c r="AZ135" s="213">
        <f>IF(A135&lt;intermediates!$B$29,0,MIN(intermediates!$B$25,intermediates!$B$25*(A135-intermediates!$B$29)/(intermediates!$B$31-intermediates!$B$29)))</f>
        <v>0</v>
      </c>
      <c r="BA135" s="212">
        <f>IF(A135&lt;intermediates!$B$29,data!$BA$74,IF(intermediates!$B$23&gt;data!$BA$74,MIN(intermediates!$B$23,data!$BA$74+(intermediates!$B$23-data!$BA$74)*((data!A135-intermediates!$B$29)/(intermediates!$B$31-intermediates!$B$29))),MAX(intermediates!$B$23,data!$BA$74+(intermediates!$B$23-data!$BA$74)*((data!A135-intermediates!$B$29)/(intermediates!$B$31-intermediates!$B$29)))))</f>
        <v>0.08</v>
      </c>
      <c r="BB135" s="212">
        <f t="shared" si="214"/>
        <v>2190.9790743108379</v>
      </c>
      <c r="BC135" s="212">
        <f t="shared" si="166"/>
        <v>2190.9790743108379</v>
      </c>
      <c r="BD135" s="212">
        <f t="shared" si="167"/>
        <v>0</v>
      </c>
      <c r="BE135" s="214">
        <f>MAX(0,MIN(1,(data!A135-intermediates!$B$29)/(intermediates!$B$31-intermediates!$B$29)))*((intermediates!$B$38*L135)-$BE$69*1000000000)/1000000000+$BE$69</f>
        <v>1457.654113459537</v>
      </c>
      <c r="BF135" s="214">
        <f t="shared" si="237"/>
        <v>1457.654113459537</v>
      </c>
      <c r="BG135" s="214">
        <f t="shared" si="168"/>
        <v>0</v>
      </c>
      <c r="BH135" s="214">
        <f>BD135*conversions!$C$2/conversions!$C$17+BG135*conversions!$C$6/conversions!$C$10</f>
        <v>0</v>
      </c>
      <c r="BI135" s="214">
        <f>BH135*intermediates!$B$41*conversions!$C$11/(conversions!$C$2*conversions!$C$6*intermediates!$B$42)</f>
        <v>0</v>
      </c>
      <c r="BJ135" s="214">
        <f>BH135*intermediates!$B$43/(conversions!$C$1*intermediates!$B$42)</f>
        <v>0</v>
      </c>
      <c r="BK135" s="214">
        <f t="shared" si="215"/>
        <v>0</v>
      </c>
      <c r="BL135" s="214">
        <f t="shared" si="216"/>
        <v>27387.238428885474</v>
      </c>
      <c r="BM135" s="214">
        <f t="shared" si="217"/>
        <v>21155.639530810917</v>
      </c>
      <c r="BN135" s="214">
        <f>IF(A135&lt;intermediates!$B$29,MIN(BO134+intermediates!$B$33*AN134),MIN(BO134*intermediates!$B$35,BO134+intermediates!$B$37*AN134))</f>
        <v>21868.806581277589</v>
      </c>
      <c r="BO135" s="212">
        <f>IF(A135&lt;intermediates!$B$29,MIN(BM135,BO134+intermediates!$B$33*AN134),MIN(BM135,BO134*intermediates!$B$35,BO134+intermediates!$B$37*AN134))</f>
        <v>21155.639530810917</v>
      </c>
      <c r="BP135" s="214">
        <f t="shared" si="218"/>
        <v>713.16705046667266</v>
      </c>
      <c r="BQ135" s="214">
        <f t="shared" si="219"/>
        <v>0</v>
      </c>
      <c r="BR135" s="212" t="str">
        <f t="shared" si="235"/>
        <v/>
      </c>
      <c r="BS135" s="212">
        <f>BP135*conversions!$C$1*intermediates!$B$42/intermediates!$B$43</f>
        <v>1591.700774553638</v>
      </c>
      <c r="BT135" s="214">
        <f>MIN(BT134+BS135,intermediates!$B$27*1000)</f>
        <v>0</v>
      </c>
      <c r="BU135" s="219" t="str">
        <f>IF(AND(BT135=intermediates!$B$27*1000,BT134&lt;&gt;intermediates!$B$27*1000),A135,"")</f>
        <v/>
      </c>
      <c r="BV135" s="212">
        <f>BT135*intermediates!$B$43/(conversions!$C$1*intermediates!$B$42)</f>
        <v>0</v>
      </c>
      <c r="BW135" s="214">
        <f t="shared" si="220"/>
        <v>27387.238428885474</v>
      </c>
      <c r="BX135" s="214">
        <f t="shared" si="221"/>
        <v>21155.639530810917</v>
      </c>
      <c r="BY135" s="227">
        <f>IF(OR(BQ135&gt;0,BT135&lt;&gt;intermediates!$B$27*1000),MAX(0,(BX135-BX134)/AM134),0.000000000001)</f>
        <v>9.9999999999999998E-13</v>
      </c>
      <c r="BZ135" s="322">
        <f>BH135*intermediates!$B$49*1000000</f>
        <v>0</v>
      </c>
      <c r="CA135" s="322">
        <f>BI135*conversions!$C$1*1000000*intermediates!$B$50</f>
        <v>0</v>
      </c>
      <c r="CB135" s="322">
        <f>BT135*1000000*intermediates!$B$49</f>
        <v>0</v>
      </c>
      <c r="CC135" s="214">
        <f>BW135*conversions!$C$1*1000000/L135</f>
        <v>27400</v>
      </c>
      <c r="CD135" s="173">
        <f t="shared" si="239"/>
        <v>2079</v>
      </c>
      <c r="CE135" s="173"/>
      <c r="CF135" s="173"/>
      <c r="CG135" s="173"/>
      <c r="CH135" s="173"/>
      <c r="CI135" s="173">
        <f t="shared" si="222"/>
        <v>0</v>
      </c>
      <c r="CJ135" s="173">
        <f t="shared" si="223"/>
        <v>1897.5897864678325</v>
      </c>
      <c r="CK135" s="173">
        <f t="shared" si="224"/>
        <v>2190.9790743108379</v>
      </c>
      <c r="CL135" s="173">
        <f t="shared" si="225"/>
        <v>2143.0300372958864</v>
      </c>
      <c r="CM135" s="173"/>
      <c r="CN135" s="173"/>
      <c r="CO135" s="329">
        <f t="shared" si="169"/>
        <v>21155.639530810917</v>
      </c>
      <c r="CP135" s="174">
        <f t="shared" si="226"/>
        <v>0</v>
      </c>
      <c r="CQ135" s="228">
        <f t="shared" si="227"/>
        <v>10</v>
      </c>
      <c r="CR135" s="228">
        <f t="shared" si="170"/>
        <v>435</v>
      </c>
      <c r="CS135" s="214">
        <f t="shared" ca="1" si="228"/>
        <v>-25.346810968513285</v>
      </c>
      <c r="CT135" s="190">
        <f t="shared" ca="1" si="229"/>
        <v>-2.1735961513836259</v>
      </c>
      <c r="CU135" s="190">
        <f t="shared" ca="1" si="236"/>
        <v>-25.346810968513285</v>
      </c>
      <c r="CV135" s="198">
        <f t="shared" si="174"/>
        <v>3203.9310777670239</v>
      </c>
      <c r="CW135" s="198">
        <f t="shared" ca="1" si="171"/>
        <v>3796.8898451957907</v>
      </c>
      <c r="CX135" s="198">
        <f t="shared" ca="1" si="230"/>
        <v>3241.4815565471472</v>
      </c>
      <c r="CY135" s="198">
        <f t="shared" ca="1" si="173"/>
        <v>-555.40828864864341</v>
      </c>
      <c r="CZ135" s="199">
        <f ca="1">IF(CX135&lt;intermediates!$B$55,intermediates!$B$56+(CX135-intermediates!$B$55)*intermediates!$B$53,intermediates!$B$56+(data!CX135-intermediates!$B$55)*intermediates!$B$58)</f>
        <v>1.7318084466498811</v>
      </c>
      <c r="DG135" s="201">
        <f>IF(A135&gt;MAX(intermediates!B$31,intermediates!$B$32),DG134,DG134+intermediates!$B$60*DG$73)</f>
        <v>19505207416250</v>
      </c>
      <c r="DH135" s="201">
        <f>IF(A135&gt;MAX(intermediates!B$31,intermediates!$B$32),DH134,DH134+intermediates!$B$61*DH$73)</f>
        <v>28534082329375</v>
      </c>
      <c r="DI135" s="201">
        <f>IF(A135&gt;MAX(intermediates!B$31,intermediates!$B$32),DI134,DI134+intermediates!$B$62*DI$73)</f>
        <v>38669431049000</v>
      </c>
      <c r="DJ135" s="221"/>
      <c r="EE135" s="218"/>
      <c r="EF135" s="212">
        <f>$EF$69+intermediates!$B$90*(A135-2013)*intermediates!$B$92+intermediates!$B$91*intermediates!$B$92*(A135-2013)^2</f>
        <v>3137.6044285492185</v>
      </c>
      <c r="EH135" s="212">
        <f>IF(A135&lt;intermediates!$B$29,data!EH134,IF(A135&lt;intermediates!$B$31,data!$EH$69+(intermediates!$B$93-data!$EH$69)*(data!A135-intermediates!$B$29)/(intermediates!$B$31-intermediates!$B$29),intermediates!$B$93))</f>
        <v>2.522212345090466E-2</v>
      </c>
      <c r="EI135" s="212">
        <f t="shared" ref="EI135:EI156" si="265">EH135</f>
        <v>2.522212345090466E-2</v>
      </c>
      <c r="EN135" s="218"/>
      <c r="EO135" s="212">
        <f t="shared" ref="EO135:EO156" si="266">EF135*(1-EH135)</f>
        <v>3058.4673823122448</v>
      </c>
      <c r="EQ135" s="212">
        <f t="shared" ref="EQ135:EQ156" si="267">EF135-EO135</f>
        <v>79.137046236973674</v>
      </c>
      <c r="ET135" s="214">
        <f>IF(A135&lt;intermediates!$B$29,ET134+intermediates!$B$63,ET134+intermediates!$B$63*intermediates!$B$67)</f>
        <v>1444.1404625694543</v>
      </c>
      <c r="EU135" s="215">
        <f t="shared" ref="EU135:EU156" si="268">ET135</f>
        <v>1444.1404625694543</v>
      </c>
      <c r="EV135" s="216">
        <f>data!EU135*conversions!$C$13</f>
        <v>1.6795353579682752</v>
      </c>
      <c r="EX135" s="212">
        <f>intermediates!$B$64+intermediates!$B$64*(EXP(-(data!A135-intermediates!$B$66)/intermediates!$B$65)-1)</f>
        <v>6.3657528703416413E-3</v>
      </c>
      <c r="EY135" s="217">
        <f>IF(A135&lt;intermediates!$B$29,data!EX135,data!EY134+(data!EX135-data!EX134)*intermediates!$B$68)</f>
        <v>6.3657528703416413E-3</v>
      </c>
      <c r="EZ135" s="217">
        <f t="shared" ref="EZ135:EZ156" si="269">EY135</f>
        <v>6.3657528703416413E-3</v>
      </c>
      <c r="FB135" s="212">
        <f>intermediates!$B$94+intermediates!$B$95+(intermediates!$B$95*(EXP(-(data!A135-intermediates!$B$97)/intermediates!$B$96)-1))</f>
        <v>1.5567842478352232</v>
      </c>
      <c r="FC135" s="217">
        <f>IF(A135&lt;intermediates!$B$29,data!FB135,data!FC134+(data!FB135-data!FB134)*intermediates!$B$68)</f>
        <v>1.5567842478352232</v>
      </c>
      <c r="FD135" s="212">
        <f t="shared" ref="FD135:FD156" si="270">FC135</f>
        <v>1.5567842478352232</v>
      </c>
      <c r="FF135" s="184">
        <f>intermediates!$B$98+intermediates!$B$99*EXP(-(A135-intermediates!$B$101)/intermediates!$B$100)</f>
        <v>0.89860856423476865</v>
      </c>
      <c r="FG135" s="184">
        <f t="shared" si="240"/>
        <v>0.89860856423476865</v>
      </c>
      <c r="FI135" s="184">
        <f>intermediates!$B$102+intermediates!$B$103*EXP(-(A135-intermediates!$B$105)/intermediates!$B$104)</f>
        <v>1.4916211052991736E-2</v>
      </c>
      <c r="FJ135" s="184">
        <f t="shared" ref="FJ135:FJ156" si="271">FI135</f>
        <v>1.4916211052991736E-2</v>
      </c>
      <c r="FL135" s="184">
        <f>intermediates!$B$106</f>
        <v>4.5616870531049965E-2</v>
      </c>
      <c r="FM135" s="184">
        <f t="shared" ref="FM135:FM156" si="272">FL135</f>
        <v>4.5616870531049965E-2</v>
      </c>
      <c r="FN135" s="218">
        <f>IF(A135&lt;intermediates!$B$29,0,IF(A135&lt;intermediates!$B$31,(data!A135-intermediates!$B$29)/(intermediates!$B$31-intermediates!$B$29),1))</f>
        <v>1</v>
      </c>
      <c r="FO135" s="218">
        <f t="shared" si="232"/>
        <v>336834967645137.81</v>
      </c>
      <c r="FP135" s="218">
        <f t="shared" si="177"/>
        <v>374840593614837.81</v>
      </c>
      <c r="FQ135" s="218">
        <f t="shared" si="178"/>
        <v>2386142584724.2188</v>
      </c>
      <c r="FR135" s="218">
        <f t="shared" si="179"/>
        <v>583545931588783.88</v>
      </c>
      <c r="FS135" s="218">
        <f t="shared" si="180"/>
        <v>404078375139.85516</v>
      </c>
      <c r="FT135" s="218">
        <f>intermediates!$B$69*data!EU135/intermediates!$B$71</f>
        <v>3.675819511053048</v>
      </c>
      <c r="FU135" s="218">
        <f>BC135*conversions!$C$1*1000000</f>
        <v>25561422533626.441</v>
      </c>
      <c r="FV135" s="218">
        <f t="shared" si="184"/>
        <v>6953938422918.8145</v>
      </c>
      <c r="FX135" s="221"/>
      <c r="FY135" s="221"/>
      <c r="FZ135" s="221"/>
      <c r="GA135" s="218">
        <f t="shared" si="241"/>
        <v>1457.654113459537</v>
      </c>
      <c r="GB135" s="218">
        <f>GA135*1000000*10000*intermediates!$B$71/(intermediates!$B$72*data!EU135)</f>
        <v>4956901818344.2744</v>
      </c>
      <c r="GC135" s="218">
        <f t="shared" si="233"/>
        <v>9014294671938.793</v>
      </c>
      <c r="GD135" s="218">
        <f t="shared" si="144"/>
        <v>21329213288341.738</v>
      </c>
      <c r="GE135" s="218">
        <f t="shared" si="182"/>
        <v>22703527788189.789</v>
      </c>
      <c r="GF135" s="218">
        <f t="shared" si="183"/>
        <v>338650612136.10156</v>
      </c>
      <c r="GG135" s="218">
        <f t="shared" ref="GG135:GG156" si="273">GE135*FM135</f>
        <v>1035663887711.9487</v>
      </c>
      <c r="GH135" s="218">
        <f t="shared" si="242"/>
        <v>9247537196731.5918</v>
      </c>
      <c r="GI135" s="218">
        <f t="shared" ref="GI135:GI156" si="274">GC135+FS135-GH135</f>
        <v>170835850347.05664</v>
      </c>
      <c r="GJ135" s="218">
        <f>ET135*intermediates!$B$73/intermediates!$B$71</f>
        <v>5.5137292665795723</v>
      </c>
      <c r="GK135" s="218">
        <f>CL135*conversions!$C$1*1000000/data!GJ135</f>
        <v>4534502129680.2402</v>
      </c>
      <c r="GL135" s="218">
        <f>MIN(1,FN135)*(intermediates!$B$75-data!$GL$69)+data!$GL$69</f>
        <v>1</v>
      </c>
      <c r="GM135" s="218">
        <f>GL135*intermediates!$B$74*(FS135+GC135+GK135+GG135+GF135+GB135+FV135)</f>
        <v>4085704487680.5044</v>
      </c>
      <c r="GN135" s="218">
        <f>MIN(1,FN135)*intermediates!$B$76</f>
        <v>0.12</v>
      </c>
      <c r="GO135" s="218">
        <f t="shared" ref="GO135:GO156" si="275">GN135*(GM135+GK135+GG135+GF135+GC135+GB135+FV135+FS135)</f>
        <v>3758848128666.063</v>
      </c>
      <c r="GP135" s="218">
        <f>IF(A135&gt;intermediates!$B$29,MIN(1,(A135-intermediates!$B$29)/(intermediates!$B$31-intermediates!$B$29))*intermediates!$B$77,0)</f>
        <v>0.15</v>
      </c>
      <c r="GQ135" s="218">
        <f>IF(AND(A135&gt;intermediates!$B$29+intermediates!$B$30,data!GP135&lt;intermediates!$B$77),1,0)</f>
        <v>0</v>
      </c>
      <c r="GR135" s="218">
        <f t="shared" si="243"/>
        <v>7205893461843.75</v>
      </c>
      <c r="GS135" s="218">
        <f t="shared" si="244"/>
        <v>44674618580784.57</v>
      </c>
      <c r="GT135" s="218">
        <f t="shared" si="238"/>
        <v>86708720794625</v>
      </c>
      <c r="GU135" s="218">
        <f t="shared" si="245"/>
        <v>45875324510843.75</v>
      </c>
      <c r="GV135" s="218">
        <f t="shared" si="246"/>
        <v>31323734405550.535</v>
      </c>
      <c r="GW135" s="218">
        <f t="shared" si="247"/>
        <v>3364671164840.4297</v>
      </c>
      <c r="GX135" s="218">
        <f>MIN(intermediates!$B$88,FN135*intermediates!$B$87*GO135)</f>
        <v>1879424064333.0315</v>
      </c>
      <c r="GY135" s="218">
        <f t="shared" si="248"/>
        <v>1879424064333.0315</v>
      </c>
      <c r="GZ135" s="218">
        <f>MIN(intermediates!$B$88-GX135,intermediates!$B$87*data!GW135*FN135)</f>
        <v>1682335582420.2148</v>
      </c>
      <c r="HA135" s="218">
        <f t="shared" ref="HA135:HA156" si="276">GW135-GZ135</f>
        <v>1682335582420.2148</v>
      </c>
      <c r="HB135" s="218">
        <f t="shared" ref="HB135:HB156" si="277">GX135+GZ135</f>
        <v>3561759646753.2461</v>
      </c>
      <c r="HC135" s="218">
        <f t="shared" si="249"/>
        <v>5947902231477.4648</v>
      </c>
      <c r="HD135" s="218">
        <f>HC135*intermediates!$B$79/(10000*1000000000)</f>
        <v>394.78727863948831</v>
      </c>
      <c r="HE135" s="218">
        <f>(GV135*intermediates!$B$80+GV135*GL135*intermediates!$B$82)/(10000*1000000000)</f>
        <v>1167.8473131326195</v>
      </c>
      <c r="HF135" s="218">
        <f>GU135*intermediates!$B$78/(10000*1000000000)</f>
        <v>4619.6154707550731</v>
      </c>
      <c r="HG135" s="218">
        <f>HB135*intermediates!$B$81/(10000*1000000000)</f>
        <v>895.29640375013855</v>
      </c>
      <c r="HH135" s="218">
        <f t="shared" si="250"/>
        <v>0</v>
      </c>
      <c r="HI135" s="218">
        <f t="shared" si="251"/>
        <v>16.9765784856246</v>
      </c>
      <c r="HJ135" s="218">
        <f t="shared" si="252"/>
        <v>-1.5350860561812851</v>
      </c>
      <c r="HK135" s="218">
        <f ca="1">SUM(HJ135:INDIRECT(ADDRESS(MAX(CELL("row",HJ135)-intermediates!$B$83,69),CELL("col",HJ135))))/intermediates!$B$83+SUM(HH135:INDIRECT(ADDRESS(MAX(CELL("row",HH135)-intermediates!$B$84,69),CELL("col",HH135))))/intermediates!$B$84+SUM(HI135:INDIRECT(ADDRESS(MAX(CELL("row",HI135)-intermediates!$B$85,69),CELL("col",HI135))))/intermediates!$B$85</f>
        <v>15.346810968513285</v>
      </c>
      <c r="HL135" s="218">
        <f t="shared" ref="HL135:HL156" ca="1" si="278">HL134+HK135</f>
        <v>-472.55047878012107</v>
      </c>
      <c r="HM135" s="188">
        <f t="shared" si="253"/>
        <v>2079</v>
      </c>
      <c r="HQ135" s="185">
        <f t="shared" si="254"/>
        <v>910.86866891986563</v>
      </c>
      <c r="HR135" s="185">
        <f t="shared" si="255"/>
        <v>596.32960579504515</v>
      </c>
      <c r="HS135" s="185">
        <f t="shared" si="256"/>
        <v>425.07527785344814</v>
      </c>
      <c r="HT135" s="185">
        <f t="shared" si="257"/>
        <v>388.8527195692397</v>
      </c>
      <c r="HU135" s="185">
        <f t="shared" si="258"/>
        <v>350.36642523373217</v>
      </c>
      <c r="HV135" s="185">
        <f t="shared" si="259"/>
        <v>322.33711121503353</v>
      </c>
      <c r="HW135" s="185">
        <f t="shared" si="260"/>
        <v>617.93581509724345</v>
      </c>
      <c r="HX135" s="185">
        <f t="shared" si="261"/>
        <v>14.649896087282478</v>
      </c>
      <c r="HY135" s="185">
        <f t="shared" si="262"/>
        <v>204.62181002777854</v>
      </c>
      <c r="HZ135" s="185">
        <f t="shared" ref="HZ135:HZ155" si="279">HQ135+HR135+HS135+HT135+HU135+HV135+HW135</f>
        <v>3611.7656236836078</v>
      </c>
      <c r="IA135" s="185">
        <f t="shared" ref="IA135:IA155" si="280">HZ135+HX135+HY135</f>
        <v>3831.0373297986685</v>
      </c>
      <c r="IB135" s="185">
        <f t="shared" si="263"/>
        <v>2613.2301845738384</v>
      </c>
      <c r="IC135" s="185">
        <f t="shared" si="231"/>
        <v>4119.5721006482891</v>
      </c>
      <c r="ID135" s="185">
        <f t="shared" si="264"/>
        <v>3316.0671221603752</v>
      </c>
      <c r="IE135" s="184">
        <f t="shared" ref="IE135:IE156" si="281">(HZ135-IC135)/ID135</f>
        <v>-0.15313516230451082</v>
      </c>
      <c r="IF135" s="184">
        <f t="shared" ref="IF135:IF156" si="282">(IA135-IC135)/ID135</f>
        <v>-8.7011137054923027E-2</v>
      </c>
    </row>
    <row r="136" spans="1:240" x14ac:dyDescent="0.3">
      <c r="A136" s="211">
        <v>2080</v>
      </c>
      <c r="E136" s="207">
        <v>8331396.7879999997</v>
      </c>
      <c r="F136" s="207">
        <v>10673904.454</v>
      </c>
      <c r="G136" s="207">
        <v>13478079.013</v>
      </c>
      <c r="I136" s="207">
        <f t="shared" si="164"/>
        <v>8331396788</v>
      </c>
      <c r="J136" s="207">
        <f t="shared" si="164"/>
        <v>10673904454</v>
      </c>
      <c r="K136" s="207">
        <f t="shared" si="164"/>
        <v>13478079013</v>
      </c>
      <c r="L136" s="187">
        <f>IF(intermediates!$B$4&gt;=2,(intermediates!$B$4-2)*K136+(1-(intermediates!$B$4-2))*J136,(intermediates!$B$4-1)*J136+(1-(intermediates!$B$4-1))*I136)</f>
        <v>11709372429.793991</v>
      </c>
      <c r="AJ136" s="184">
        <f>IF(intermediates!$B$46=0,$AJ$74+(intermediates!$B$15-$AJ$74)*MIN(1,(data!A136-data!$A$74)/(intermediates!$B$32-data!$A$74)),IF(A136&lt;2021,$AJ$74+(intermediates!$B$15-$AJ$74)*MIN(1,(data!A136-data!$A$74)/(intermediates!$B$32-data!$A$74)),intermediates!$B$47+(intermediates!$B$15-intermediates!$B$47)*MIN(1,(data!A136-$A$77)/(intermediates!$B$32-$A$77))))</f>
        <v>27400</v>
      </c>
      <c r="AK136" s="192">
        <f t="shared" si="146"/>
        <v>27400</v>
      </c>
      <c r="AL136" s="192">
        <f t="shared" si="234"/>
        <v>320836804576355.38</v>
      </c>
      <c r="AM136" s="192">
        <f>data!AL136/(1000000*conversions!$C$1)</f>
        <v>27500.297535116177</v>
      </c>
      <c r="AN136" s="192">
        <f>IF(intermediates!$B$13=1,($AJ$74+(27400-$AJ$74)*MIN(1,(data!A136-data!$A$74)/(intermediates!$B$32-data!$A$74)))*L136/(1000000*conversions!$C$1),data!AM136)</f>
        <v>27500.297535116177</v>
      </c>
      <c r="AV136" s="214">
        <f>IF(A136&lt;intermediates!$B$29,0,IF(A136&lt;intermediates!$B$31,(data!A136-intermediates!$B$29)*intermediates!$B$26/(intermediates!$B$31-intermediates!$B$29),intermediates!$B$26))</f>
        <v>10</v>
      </c>
      <c r="AW136" s="212">
        <f>MIN(AW135+intermediates!$B$16,intermediates!$B$17*data!$AW$74)</f>
        <v>1897.5897864678325</v>
      </c>
      <c r="AX136" s="212">
        <f>AV136*1000/conversions!$C$16/intermediates!$B$40</f>
        <v>8187.0584968062822</v>
      </c>
      <c r="AY136" s="212">
        <f>AX136*(1-intermediates!$B$39)*intermediates!$B$28/(conversions!$C$2)</f>
        <v>2143.0300372958864</v>
      </c>
      <c r="AZ136" s="213">
        <f>IF(A136&lt;intermediates!$B$29,0,MIN(intermediates!$B$25,intermediates!$B$25*(A136-intermediates!$B$29)/(intermediates!$B$31-intermediates!$B$29)))</f>
        <v>0</v>
      </c>
      <c r="BA136" s="212">
        <f>IF(A136&lt;intermediates!$B$29,data!$BA$74,IF(intermediates!$B$23&gt;data!$BA$74,MIN(intermediates!$B$23,data!$BA$74+(intermediates!$B$23-data!$BA$74)*((data!A136-intermediates!$B$29)/(intermediates!$B$31-intermediates!$B$29))),MAX(intermediates!$B$23,data!$BA$74+(intermediates!$B$23-data!$BA$74)*((data!A136-intermediates!$B$29)/(intermediates!$B$31-intermediates!$B$29)))))</f>
        <v>0.08</v>
      </c>
      <c r="BB136" s="212">
        <f t="shared" si="214"/>
        <v>2200.023802809294</v>
      </c>
      <c r="BC136" s="212">
        <f t="shared" si="166"/>
        <v>2200.023802809294</v>
      </c>
      <c r="BD136" s="212">
        <f t="shared" si="167"/>
        <v>0</v>
      </c>
      <c r="BE136" s="214">
        <f>MAX(0,MIN(1,(data!A136-intermediates!$B$29)/(intermediates!$B$31-intermediates!$B$29)))*((intermediates!$B$38*L136)-$BE$69*1000000000)/1000000000+$BE$69</f>
        <v>1463.6715537242487</v>
      </c>
      <c r="BF136" s="214">
        <f t="shared" si="237"/>
        <v>1463.6715537242487</v>
      </c>
      <c r="BG136" s="214">
        <f t="shared" si="168"/>
        <v>0</v>
      </c>
      <c r="BH136" s="214">
        <f>BD136*conversions!$C$2/conversions!$C$17+BG136*conversions!$C$6/conversions!$C$10</f>
        <v>0</v>
      </c>
      <c r="BI136" s="214">
        <f>BH136*intermediates!$B$41*conversions!$C$11/(conversions!$C$2*conversions!$C$6*intermediates!$B$42)</f>
        <v>0</v>
      </c>
      <c r="BJ136" s="214">
        <f>BH136*intermediates!$B$43/(conversions!$C$1*intermediates!$B$42)</f>
        <v>0</v>
      </c>
      <c r="BK136" s="214">
        <f t="shared" si="215"/>
        <v>0</v>
      </c>
      <c r="BL136" s="214">
        <f t="shared" si="216"/>
        <v>27500.297535116177</v>
      </c>
      <c r="BM136" s="214">
        <f t="shared" si="217"/>
        <v>21259.653908543165</v>
      </c>
      <c r="BN136" s="214">
        <f>IF(A136&lt;intermediates!$B$29,MIN(BO135+intermediates!$B$33*AN135),MIN(BO135*intermediates!$B$35,BO135+intermediates!$B$37*AN135))</f>
        <v>21976.882229093124</v>
      </c>
      <c r="BO136" s="212">
        <f>IF(A136&lt;intermediates!$B$29,MIN(BM136,BO135+intermediates!$B$33*AN135),MIN(BM136,BO135*intermediates!$B$35,BO135+intermediates!$B$37*AN135))</f>
        <v>21259.653908543165</v>
      </c>
      <c r="BP136" s="214">
        <f t="shared" si="218"/>
        <v>717.22832054995888</v>
      </c>
      <c r="BQ136" s="214">
        <f t="shared" si="219"/>
        <v>0</v>
      </c>
      <c r="BR136" s="212" t="str">
        <f t="shared" si="235"/>
        <v/>
      </c>
      <c r="BS136" s="212">
        <f>BP136*conversions!$C$1*intermediates!$B$42/intermediates!$B$43</f>
        <v>1600.7650277787527</v>
      </c>
      <c r="BT136" s="214">
        <f>MIN(BT135+BS136,intermediates!$B$27*1000)</f>
        <v>0</v>
      </c>
      <c r="BU136" s="219" t="str">
        <f>IF(AND(BT136=intermediates!$B$27*1000,BT135&lt;&gt;intermediates!$B$27*1000),A136,"")</f>
        <v/>
      </c>
      <c r="BV136" s="212">
        <f>BT136*intermediates!$B$43/(conversions!$C$1*intermediates!$B$42)</f>
        <v>0</v>
      </c>
      <c r="BW136" s="214">
        <f t="shared" si="220"/>
        <v>27500.297535116177</v>
      </c>
      <c r="BX136" s="214">
        <f t="shared" si="221"/>
        <v>21259.653908543165</v>
      </c>
      <c r="BY136" s="227">
        <f>IF(OR(BQ136&gt;0,BT136&lt;&gt;intermediates!$B$27*1000),MAX(0,(BX136-BX135)/AM135),0.000000000001)</f>
        <v>9.9999999999999998E-13</v>
      </c>
      <c r="BZ136" s="322">
        <f>BH136*intermediates!$B$49*1000000</f>
        <v>0</v>
      </c>
      <c r="CA136" s="322">
        <f>BI136*conversions!$C$1*1000000*intermediates!$B$50</f>
        <v>0</v>
      </c>
      <c r="CB136" s="322">
        <f>BT136*1000000*intermediates!$B$49</f>
        <v>0</v>
      </c>
      <c r="CC136" s="214">
        <f>BW136*conversions!$C$1*1000000/L136</f>
        <v>27400</v>
      </c>
      <c r="CD136" s="173">
        <f t="shared" si="239"/>
        <v>2080</v>
      </c>
      <c r="CE136" s="173"/>
      <c r="CF136" s="173"/>
      <c r="CG136" s="173"/>
      <c r="CH136" s="173"/>
      <c r="CI136" s="173">
        <f t="shared" si="222"/>
        <v>0</v>
      </c>
      <c r="CJ136" s="173">
        <f t="shared" si="223"/>
        <v>1897.5897864678325</v>
      </c>
      <c r="CK136" s="173">
        <f t="shared" si="224"/>
        <v>2200.023802809294</v>
      </c>
      <c r="CL136" s="173">
        <f t="shared" si="225"/>
        <v>2143.0300372958864</v>
      </c>
      <c r="CM136" s="173"/>
      <c r="CN136" s="173"/>
      <c r="CO136" s="329">
        <f t="shared" si="169"/>
        <v>21259.653908543165</v>
      </c>
      <c r="CP136" s="174">
        <f t="shared" si="226"/>
        <v>0</v>
      </c>
      <c r="CQ136" s="228">
        <f t="shared" si="227"/>
        <v>10</v>
      </c>
      <c r="CR136" s="228">
        <f t="shared" si="170"/>
        <v>445</v>
      </c>
      <c r="CS136" s="214">
        <f t="shared" ca="1" si="228"/>
        <v>-25.660615769692523</v>
      </c>
      <c r="CT136" s="190">
        <f t="shared" ca="1" si="229"/>
        <v>-2.1914595272757915</v>
      </c>
      <c r="CU136" s="190">
        <f t="shared" ca="1" si="236"/>
        <v>-25.660615769692527</v>
      </c>
      <c r="CV136" s="198">
        <f t="shared" si="174"/>
        <v>3203.9310777670239</v>
      </c>
      <c r="CW136" s="198">
        <f t="shared" ca="1" si="171"/>
        <v>3796.8898451957907</v>
      </c>
      <c r="CX136" s="198">
        <f t="shared" ca="1" si="230"/>
        <v>3215.8209407774548</v>
      </c>
      <c r="CY136" s="198">
        <f t="shared" ca="1" si="173"/>
        <v>-581.06890441833593</v>
      </c>
      <c r="CZ136" s="199">
        <f ca="1">IF(CX136&lt;intermediates!$B$55,intermediates!$B$56+(CX136-intermediates!$B$55)*intermediates!$B$53,intermediates!$B$56+(data!CX136-intermediates!$B$55)*intermediates!$B$58)</f>
        <v>1.7178542115513595</v>
      </c>
      <c r="DG136" s="201">
        <f>IF(A136&gt;MAX(intermediates!B$31,intermediates!$B$32),DG135,DG135+intermediates!$B$60*DG$73)</f>
        <v>19505207416250</v>
      </c>
      <c r="DH136" s="201">
        <f>IF(A136&gt;MAX(intermediates!B$31,intermediates!$B$32),DH135,DH135+intermediates!$B$61*DH$73)</f>
        <v>28534082329375</v>
      </c>
      <c r="DI136" s="201">
        <f>IF(A136&gt;MAX(intermediates!B$31,intermediates!$B$32),DI135,DI135+intermediates!$B$62*DI$73)</f>
        <v>38669431049000</v>
      </c>
      <c r="DJ136" s="221"/>
      <c r="EE136" s="218"/>
      <c r="EF136" s="212">
        <f>$EF$69+intermediates!$B$90*(A136-2013)*intermediates!$B$92+intermediates!$B$91*intermediates!$B$92*(A136-2013)^2</f>
        <v>3140.1625185492189</v>
      </c>
      <c r="EH136" s="212">
        <f>IF(A136&lt;intermediates!$B$29,data!EH135,IF(A136&lt;intermediates!$B$31,data!$EH$69+(intermediates!$B$93-data!$EH$69)*(data!A136-intermediates!$B$29)/(intermediates!$B$31-intermediates!$B$29),intermediates!$B$93))</f>
        <v>2.522212345090466E-2</v>
      </c>
      <c r="EI136" s="212">
        <f t="shared" si="265"/>
        <v>2.522212345090466E-2</v>
      </c>
      <c r="EN136" s="218"/>
      <c r="EO136" s="212">
        <f t="shared" si="266"/>
        <v>3060.9609518504667</v>
      </c>
      <c r="EQ136" s="212">
        <f t="shared" si="267"/>
        <v>79.201566698752231</v>
      </c>
      <c r="ET136" s="214">
        <f>IF(A136&lt;intermediates!$B$29,ET135+intermediates!$B$63,ET135+intermediates!$B$63*intermediates!$B$67)</f>
        <v>1454.116051960897</v>
      </c>
      <c r="EU136" s="215">
        <f t="shared" si="268"/>
        <v>1454.116051960897</v>
      </c>
      <c r="EV136" s="216">
        <f>data!EU136*conversions!$C$13</f>
        <v>1.6911369684305233</v>
      </c>
      <c r="EX136" s="212">
        <f>intermediates!$B$64+intermediates!$B$64*(EXP(-(data!A136-intermediates!$B$66)/intermediates!$B$65)-1)</f>
        <v>6.2474104275498377E-3</v>
      </c>
      <c r="EY136" s="217">
        <f>IF(A136&lt;intermediates!$B$29,data!EX136,data!EY135+(data!EX136-data!EX135)*intermediates!$B$68)</f>
        <v>6.2474104275498377E-3</v>
      </c>
      <c r="EZ136" s="217">
        <f t="shared" si="269"/>
        <v>6.2474104275498377E-3</v>
      </c>
      <c r="FB136" s="212">
        <f>intermediates!$B$94+intermediates!$B$95+(intermediates!$B$95*(EXP(-(data!A136-intermediates!$B$97)/intermediates!$B$96)-1))</f>
        <v>1.5552357153611009</v>
      </c>
      <c r="FC136" s="217">
        <f>IF(A136&lt;intermediates!$B$29,data!FB136,data!FC135+(data!FB136-data!FB135)*intermediates!$B$68)</f>
        <v>1.5552357153611009</v>
      </c>
      <c r="FD136" s="212">
        <f t="shared" si="270"/>
        <v>1.5552357153611009</v>
      </c>
      <c r="FF136" s="184">
        <f>intermediates!$B$98+intermediates!$B$99*EXP(-(A136-intermediates!$B$101)/intermediates!$B$100)</f>
        <v>0.89885781739768988</v>
      </c>
      <c r="FG136" s="184">
        <f t="shared" si="240"/>
        <v>0.89885781739768988</v>
      </c>
      <c r="FI136" s="184">
        <f>intermediates!$B$102+intermediates!$B$103*EXP(-(A136-intermediates!$B$105)/intermediates!$B$104)</f>
        <v>1.4855498143788528E-2</v>
      </c>
      <c r="FJ136" s="184">
        <f t="shared" si="271"/>
        <v>1.4855498143788528E-2</v>
      </c>
      <c r="FL136" s="184">
        <f>intermediates!$B$106</f>
        <v>4.5616870531049965E-2</v>
      </c>
      <c r="FM136" s="184">
        <f t="shared" si="272"/>
        <v>4.5616870531049965E-2</v>
      </c>
      <c r="FN136" s="218">
        <f>IF(A136&lt;intermediates!$B$29,0,IF(A136&lt;intermediates!$B$31,(data!A136-intermediates!$B$29)/(intermediates!$B$31-intermediates!$B$29),1))</f>
        <v>1</v>
      </c>
      <c r="FO136" s="218">
        <f t="shared" si="232"/>
        <v>338501234147083.63</v>
      </c>
      <c r="FP136" s="218">
        <f t="shared" si="177"/>
        <v>376590410179764.19</v>
      </c>
      <c r="FQ136" s="218">
        <f t="shared" si="178"/>
        <v>2352714855472.3291</v>
      </c>
      <c r="FR136" s="218">
        <f t="shared" si="179"/>
        <v>585686855974056</v>
      </c>
      <c r="FS136" s="218">
        <f t="shared" si="180"/>
        <v>402778619481.05768</v>
      </c>
      <c r="FT136" s="218">
        <f>intermediates!$B$69*data!EU136/intermediates!$B$71</f>
        <v>3.7012107157659728</v>
      </c>
      <c r="FU136" s="218">
        <f>BC136*conversions!$C$1*1000000</f>
        <v>25666944366108.43</v>
      </c>
      <c r="FV136" s="218">
        <f t="shared" si="184"/>
        <v>6934742800990.8926</v>
      </c>
      <c r="FX136" s="221"/>
      <c r="FY136" s="221"/>
      <c r="FZ136" s="221"/>
      <c r="GA136" s="218">
        <f t="shared" si="241"/>
        <v>1463.6715537242487</v>
      </c>
      <c r="GB136" s="218">
        <f>GA136*1000000*10000*intermediates!$B$71/(intermediates!$B$72*data!EU136)</f>
        <v>4943218807731.874</v>
      </c>
      <c r="GC136" s="218">
        <f t="shared" si="233"/>
        <v>8996740721917.1172</v>
      </c>
      <c r="GD136" s="218">
        <f t="shared" ref="GD136:GD156" si="283">FV136+GB136+GC136+FS136</f>
        <v>21277480950120.941</v>
      </c>
      <c r="GE136" s="218">
        <f t="shared" si="182"/>
        <v>22646998598763.945</v>
      </c>
      <c r="GF136" s="218">
        <f t="shared" si="183"/>
        <v>336432445646.31915</v>
      </c>
      <c r="GG136" s="218">
        <f t="shared" si="273"/>
        <v>1033085202996.6848</v>
      </c>
      <c r="GH136" s="218">
        <f t="shared" si="242"/>
        <v>9229529042829.0605</v>
      </c>
      <c r="GI136" s="218">
        <f t="shared" si="274"/>
        <v>169990298569.11523</v>
      </c>
      <c r="GJ136" s="218">
        <f>ET136*intermediates!$B$73/intermediates!$B$71</f>
        <v>5.5518160736489595</v>
      </c>
      <c r="GK136" s="218">
        <f>CL136*conversions!$C$1*1000000/data!GJ136</f>
        <v>4503394343421.1494</v>
      </c>
      <c r="GL136" s="218">
        <f>MIN(1,FN136)*(intermediates!$B$75-data!$GL$69)+data!$GL$69</f>
        <v>1</v>
      </c>
      <c r="GM136" s="218">
        <f>GL136*intermediates!$B$74*(FS136+GC136+GK136+GG136+GF136+GB136+FV136)</f>
        <v>4072558941327.7637</v>
      </c>
      <c r="GN136" s="218">
        <f>MIN(1,FN136)*intermediates!$B$76</f>
        <v>0.12</v>
      </c>
      <c r="GO136" s="218">
        <f t="shared" si="275"/>
        <v>3746754226021.5425</v>
      </c>
      <c r="GP136" s="218">
        <f>IF(A136&gt;intermediates!$B$29,MIN(1,(A136-intermediates!$B$29)/(intermediates!$B$31-intermediates!$B$29))*intermediates!$B$77,0)</f>
        <v>0.15</v>
      </c>
      <c r="GQ136" s="218">
        <f>IF(AND(A136&gt;intermediates!$B$29+intermediates!$B$30,data!GP136&lt;intermediates!$B$77),1,0)</f>
        <v>0</v>
      </c>
      <c r="GR136" s="218">
        <f t="shared" si="243"/>
        <v>7205893461843.75</v>
      </c>
      <c r="GS136" s="218">
        <f t="shared" si="244"/>
        <v>44528314426850.477</v>
      </c>
      <c r="GT136" s="218">
        <f t="shared" si="238"/>
        <v>86708720794625</v>
      </c>
      <c r="GU136" s="218">
        <f t="shared" si="245"/>
        <v>45875324510843.75</v>
      </c>
      <c r="GV136" s="218">
        <f t="shared" si="246"/>
        <v>31222951883512.859</v>
      </c>
      <c r="GW136" s="218">
        <f t="shared" si="247"/>
        <v>3510975318774.5234</v>
      </c>
      <c r="GX136" s="218">
        <f>MIN(intermediates!$B$88,FN136*intermediates!$B$87*GO136)</f>
        <v>1873377113010.7712</v>
      </c>
      <c r="GY136" s="218">
        <f t="shared" si="248"/>
        <v>1873377113010.7712</v>
      </c>
      <c r="GZ136" s="218">
        <f>MIN(intermediates!$B$88-GX136,intermediates!$B$87*data!GW136*FN136)</f>
        <v>1755487659387.2617</v>
      </c>
      <c r="HA136" s="218">
        <f t="shared" si="276"/>
        <v>1755487659387.2617</v>
      </c>
      <c r="HB136" s="218">
        <f t="shared" si="277"/>
        <v>3628864772398.0332</v>
      </c>
      <c r="HC136" s="218">
        <f t="shared" si="249"/>
        <v>5981579627870.3623</v>
      </c>
      <c r="HD136" s="218">
        <f>HC136*intermediates!$B$79/(10000*1000000000)</f>
        <v>397.02258903232791</v>
      </c>
      <c r="HE136" s="218">
        <f>(GV136*intermediates!$B$80+GV136*GL136*intermediates!$B$82)/(10000*1000000000)</f>
        <v>1164.0898238100317</v>
      </c>
      <c r="HF136" s="218">
        <f>GU136*intermediates!$B$78/(10000*1000000000)</f>
        <v>4619.6154707550731</v>
      </c>
      <c r="HG136" s="218">
        <f>HB136*intermediates!$B$81/(10000*1000000000)</f>
        <v>912.16418361780723</v>
      </c>
      <c r="HH136" s="218">
        <f t="shared" si="250"/>
        <v>0</v>
      </c>
      <c r="HI136" s="218">
        <f t="shared" si="251"/>
        <v>16.867779867668673</v>
      </c>
      <c r="HJ136" s="218">
        <f t="shared" si="252"/>
        <v>-1.522178929748236</v>
      </c>
      <c r="HK136" s="218">
        <f ca="1">SUM(HJ136:INDIRECT(ADDRESS(MAX(CELL("row",HJ136)-intermediates!$B$83,69),CELL("col",HJ136))))/intermediates!$B$83+SUM(HH136:INDIRECT(ADDRESS(MAX(CELL("row",HH136)-intermediates!$B$84,69),CELL("col",HH136))))/intermediates!$B$84+SUM(HI136:INDIRECT(ADDRESS(MAX(CELL("row",HI136)-intermediates!$B$85,69),CELL("col",HI136))))/intermediates!$B$85</f>
        <v>15.660615769692523</v>
      </c>
      <c r="HL136" s="218">
        <f t="shared" ca="1" si="278"/>
        <v>-456.88986301042854</v>
      </c>
      <c r="HM136" s="188">
        <f t="shared" si="253"/>
        <v>2080</v>
      </c>
      <c r="HQ136" s="185">
        <f t="shared" si="254"/>
        <v>905.17632392520454</v>
      </c>
      <c r="HR136" s="185">
        <f t="shared" si="255"/>
        <v>592.23863982204034</v>
      </c>
      <c r="HS136" s="185">
        <f t="shared" si="256"/>
        <v>422.15915817606651</v>
      </c>
      <c r="HT136" s="185">
        <f t="shared" si="257"/>
        <v>384.59741292047875</v>
      </c>
      <c r="HU136" s="185">
        <f t="shared" si="258"/>
        <v>347.80334862057288</v>
      </c>
      <c r="HV136" s="185">
        <f t="shared" si="259"/>
        <v>319.97908073092702</v>
      </c>
      <c r="HW136" s="185">
        <f t="shared" si="260"/>
        <v>615.39536000312592</v>
      </c>
      <c r="HX136" s="185">
        <f t="shared" si="261"/>
        <v>14.517455960029274</v>
      </c>
      <c r="HY136" s="185">
        <f t="shared" si="262"/>
        <v>200.92578569675931</v>
      </c>
      <c r="HZ136" s="185">
        <f t="shared" si="279"/>
        <v>3587.3493241984156</v>
      </c>
      <c r="IA136" s="185">
        <f t="shared" si="280"/>
        <v>3802.792565855204</v>
      </c>
      <c r="IB136" s="185">
        <f t="shared" si="263"/>
        <v>2613.2301845738384</v>
      </c>
      <c r="IC136" s="185">
        <f t="shared" si="231"/>
        <v>4102.6357333541728</v>
      </c>
      <c r="ID136" s="185">
        <f t="shared" si="264"/>
        <v>3302.4341211154328</v>
      </c>
      <c r="IE136" s="184">
        <f t="shared" si="281"/>
        <v>-0.15603230534140483</v>
      </c>
      <c r="IF136" s="184">
        <f t="shared" si="282"/>
        <v>-9.0794594684509108E-2</v>
      </c>
    </row>
    <row r="137" spans="1:240" x14ac:dyDescent="0.3">
      <c r="A137" s="184">
        <v>2081</v>
      </c>
      <c r="E137" s="207">
        <v>8290088.1579999998</v>
      </c>
      <c r="F137" s="207">
        <v>10690773.335000001</v>
      </c>
      <c r="G137" s="207">
        <v>13578855.479</v>
      </c>
      <c r="I137" s="207">
        <f t="shared" si="164"/>
        <v>8290088158</v>
      </c>
      <c r="J137" s="207">
        <f t="shared" si="164"/>
        <v>10690773335</v>
      </c>
      <c r="K137" s="207">
        <f t="shared" si="164"/>
        <v>13578855479</v>
      </c>
      <c r="L137" s="187">
        <f>IF(intermediates!$B$4&gt;=2,(intermediates!$B$4-2)*K137+(1-(intermediates!$B$4-2))*J137,(intermediates!$B$4-1)*J137+(1-(intermediates!$B$4-1))*I137)</f>
        <v>11757224980.093344</v>
      </c>
      <c r="AJ137" s="184">
        <f>IF(intermediates!$B$46=0,$AJ$74+(intermediates!$B$15-$AJ$74)*MIN(1,(data!A137-data!$A$74)/(intermediates!$B$32-data!$A$74)),IF(A137&lt;2021,$AJ$74+(intermediates!$B$15-$AJ$74)*MIN(1,(data!A137-data!$A$74)/(intermediates!$B$32-data!$A$74)),intermediates!$B$47+(intermediates!$B$15-intermediates!$B$47)*MIN(1,(data!A137-$A$77)/(intermediates!$B$32-$A$77))))</f>
        <v>27400</v>
      </c>
      <c r="AK137" s="192">
        <f t="shared" si="146"/>
        <v>27400</v>
      </c>
      <c r="AL137" s="192">
        <f t="shared" si="234"/>
        <v>322147964454557.63</v>
      </c>
      <c r="AM137" s="192">
        <f>data!AL137/(1000000*conversions!$C$1)</f>
        <v>27612.682667533511</v>
      </c>
      <c r="AN137" s="192">
        <f>IF(intermediates!$B$13=1,($AJ$74+(27400-$AJ$74)*MIN(1,(data!A137-data!$A$74)/(intermediates!$B$32-data!$A$74)))*L137/(1000000*conversions!$C$1),data!AM137)</f>
        <v>27612.682667533511</v>
      </c>
      <c r="AV137" s="214">
        <f>IF(A137&lt;intermediates!$B$29,0,IF(A137&lt;intermediates!$B$31,(data!A137-intermediates!$B$29)*intermediates!$B$26/(intermediates!$B$31-intermediates!$B$29),intermediates!$B$26))</f>
        <v>10</v>
      </c>
      <c r="AW137" s="212">
        <f>MIN(AW136+intermediates!$B$16,intermediates!$B$17*data!$AW$74)</f>
        <v>1897.5897864678325</v>
      </c>
      <c r="AX137" s="212">
        <f>AV137*1000/conversions!$C$16/intermediates!$B$40</f>
        <v>8187.0584968062822</v>
      </c>
      <c r="AY137" s="212">
        <f>AX137*(1-intermediates!$B$39)*intermediates!$B$28/(conversions!$C$2)</f>
        <v>2143.0300372958864</v>
      </c>
      <c r="AZ137" s="213">
        <f>IF(A137&lt;intermediates!$B$29,0,MIN(intermediates!$B$25,intermediates!$B$25*(A137-intermediates!$B$29)/(intermediates!$B$31-intermediates!$B$29)))</f>
        <v>0</v>
      </c>
      <c r="BA137" s="212">
        <f>IF(A137&lt;intermediates!$B$29,data!$BA$74,IF(intermediates!$B$23&gt;data!$BA$74,MIN(intermediates!$B$23,data!$BA$74+(intermediates!$B$23-data!$BA$74)*((data!A137-intermediates!$B$29)/(intermediates!$B$31-intermediates!$B$29))),MAX(intermediates!$B$23,data!$BA$74+(intermediates!$B$23-data!$BA$74)*((data!A137-intermediates!$B$29)/(intermediates!$B$31-intermediates!$B$29)))))</f>
        <v>0.08</v>
      </c>
      <c r="BB137" s="212">
        <f t="shared" si="214"/>
        <v>2209.0146134026809</v>
      </c>
      <c r="BC137" s="212">
        <f t="shared" si="166"/>
        <v>2209.0146134026809</v>
      </c>
      <c r="BD137" s="212">
        <f t="shared" si="167"/>
        <v>0</v>
      </c>
      <c r="BE137" s="214">
        <f>MAX(0,MIN(1,(data!A137-intermediates!$B$29)/(intermediates!$B$31-intermediates!$B$29)))*((intermediates!$B$38*L137)-$BE$69*1000000000)/1000000000+$BE$69</f>
        <v>1469.653122511668</v>
      </c>
      <c r="BF137" s="214">
        <f t="shared" si="237"/>
        <v>1469.653122511668</v>
      </c>
      <c r="BG137" s="214">
        <f t="shared" si="168"/>
        <v>0</v>
      </c>
      <c r="BH137" s="214">
        <f>BD137*conversions!$C$2/conversions!$C$17+BG137*conversions!$C$6/conversions!$C$10</f>
        <v>0</v>
      </c>
      <c r="BI137" s="214">
        <f>BH137*intermediates!$B$41*conversions!$C$11/(conversions!$C$2*conversions!$C$6*intermediates!$B$42)</f>
        <v>0</v>
      </c>
      <c r="BJ137" s="214">
        <f>BH137*intermediates!$B$43/(conversions!$C$1*intermediates!$B$42)</f>
        <v>0</v>
      </c>
      <c r="BK137" s="214">
        <f t="shared" si="215"/>
        <v>0</v>
      </c>
      <c r="BL137" s="214">
        <f t="shared" si="216"/>
        <v>27612.682667533511</v>
      </c>
      <c r="BM137" s="214">
        <f t="shared" si="217"/>
        <v>21363.048230367109</v>
      </c>
      <c r="BN137" s="214">
        <f>IF(A137&lt;intermediates!$B$29,MIN(BO136+intermediates!$B$33*AN136),MIN(BO136*intermediates!$B$35,BO136+intermediates!$B$37*AN136))</f>
        <v>22084.286834201066</v>
      </c>
      <c r="BO137" s="212">
        <f>IF(A137&lt;intermediates!$B$29,MIN(BM137,BO136+intermediates!$B$33*AN136),MIN(BM137,BO136*intermediates!$B$35,BO136+intermediates!$B$37*AN136))</f>
        <v>21363.048230367109</v>
      </c>
      <c r="BP137" s="214">
        <f t="shared" si="218"/>
        <v>721.23860383395731</v>
      </c>
      <c r="BQ137" s="214">
        <f t="shared" si="219"/>
        <v>0</v>
      </c>
      <c r="BR137" s="212" t="str">
        <f t="shared" si="235"/>
        <v/>
      </c>
      <c r="BS137" s="212">
        <f>BP137*conversions!$C$1*intermediates!$B$42/intermediates!$B$43</f>
        <v>1609.715484765153</v>
      </c>
      <c r="BT137" s="214">
        <f>MIN(BT136+BS137,intermediates!$B$27*1000)</f>
        <v>0</v>
      </c>
      <c r="BU137" s="219" t="str">
        <f>IF(AND(BT137=intermediates!$B$27*1000,BT136&lt;&gt;intermediates!$B$27*1000),A137,"")</f>
        <v/>
      </c>
      <c r="BV137" s="212">
        <f>BT137*intermediates!$B$43/(conversions!$C$1*intermediates!$B$42)</f>
        <v>0</v>
      </c>
      <c r="BW137" s="214">
        <f t="shared" si="220"/>
        <v>27612.682667533511</v>
      </c>
      <c r="BX137" s="214">
        <f t="shared" si="221"/>
        <v>21363.048230367109</v>
      </c>
      <c r="BY137" s="227">
        <f>IF(OR(BQ137&gt;0,BT137&lt;&gt;intermediates!$B$27*1000),MAX(0,(BX137-BX136)/AM136),0.000000000001)</f>
        <v>9.9999999999999998E-13</v>
      </c>
      <c r="BZ137" s="322">
        <f>BH137*intermediates!$B$49*1000000</f>
        <v>0</v>
      </c>
      <c r="CA137" s="322">
        <f>BI137*conversions!$C$1*1000000*intermediates!$B$50</f>
        <v>0</v>
      </c>
      <c r="CB137" s="322">
        <f>BT137*1000000*intermediates!$B$49</f>
        <v>0</v>
      </c>
      <c r="CC137" s="214">
        <f>BW137*conversions!$C$1*1000000/L137</f>
        <v>27400</v>
      </c>
      <c r="CD137" s="173">
        <f t="shared" si="239"/>
        <v>2081</v>
      </c>
      <c r="CE137" s="173"/>
      <c r="CF137" s="173"/>
      <c r="CG137" s="173"/>
      <c r="CH137" s="173"/>
      <c r="CI137" s="173">
        <f t="shared" si="222"/>
        <v>0</v>
      </c>
      <c r="CJ137" s="173">
        <f t="shared" si="223"/>
        <v>1897.5897864678325</v>
      </c>
      <c r="CK137" s="173">
        <f t="shared" si="224"/>
        <v>2209.0146134026809</v>
      </c>
      <c r="CL137" s="173">
        <f t="shared" si="225"/>
        <v>2143.0300372958864</v>
      </c>
      <c r="CM137" s="173"/>
      <c r="CN137" s="173"/>
      <c r="CO137" s="329">
        <f t="shared" si="169"/>
        <v>21363.048230367109</v>
      </c>
      <c r="CP137" s="174">
        <f t="shared" si="226"/>
        <v>0</v>
      </c>
      <c r="CQ137" s="228">
        <f t="shared" si="227"/>
        <v>10</v>
      </c>
      <c r="CR137" s="228">
        <f t="shared" si="170"/>
        <v>455</v>
      </c>
      <c r="CS137" s="214">
        <f t="shared" ca="1" si="228"/>
        <v>-25.973486475363607</v>
      </c>
      <c r="CT137" s="190">
        <f t="shared" ca="1" si="229"/>
        <v>-2.209151098098439</v>
      </c>
      <c r="CU137" s="190">
        <f t="shared" ca="1" si="236"/>
        <v>-25.973486475363611</v>
      </c>
      <c r="CV137" s="198">
        <f t="shared" si="174"/>
        <v>3203.9310777670239</v>
      </c>
      <c r="CW137" s="198">
        <f t="shared" ca="1" si="171"/>
        <v>3796.8898451957907</v>
      </c>
      <c r="CX137" s="198">
        <f t="shared" ca="1" si="230"/>
        <v>3189.8474543020911</v>
      </c>
      <c r="CY137" s="198">
        <f t="shared" ca="1" si="173"/>
        <v>-607.04239089369958</v>
      </c>
      <c r="CZ137" s="199">
        <f ca="1">IF(CX137&lt;intermediates!$B$55,intermediates!$B$56+(CX137-intermediates!$B$55)*intermediates!$B$53,intermediates!$B$56+(data!CX137-intermediates!$B$55)*intermediates!$B$58)</f>
        <v>1.7037298374576726</v>
      </c>
      <c r="DG137" s="201">
        <f>IF(A137&gt;MAX(intermediates!B$31,intermediates!$B$32),DG136,DG136+intermediates!$B$60*DG$73)</f>
        <v>19505207416250</v>
      </c>
      <c r="DH137" s="201">
        <f>IF(A137&gt;MAX(intermediates!B$31,intermediates!$B$32),DH136,DH136+intermediates!$B$61*DH$73)</f>
        <v>28534082329375</v>
      </c>
      <c r="DI137" s="201">
        <f>IF(A137&gt;MAX(intermediates!B$31,intermediates!$B$32),DI136,DI136+intermediates!$B$62*DI$73)</f>
        <v>38669431049000</v>
      </c>
      <c r="DJ137" s="221"/>
      <c r="EE137" s="218"/>
      <c r="EF137" s="212">
        <f>$EF$69+intermediates!$B$90*(A137-2013)*intermediates!$B$92+intermediates!$B$91*intermediates!$B$92*(A137-2013)^2</f>
        <v>3142.6392085492184</v>
      </c>
      <c r="EH137" s="212">
        <f>IF(A137&lt;intermediates!$B$29,data!EH136,IF(A137&lt;intermediates!$B$31,data!$EH$69+(intermediates!$B$93-data!$EH$69)*(data!A137-intermediates!$B$29)/(intermediates!$B$31-intermediates!$B$29),intermediates!$B$93))</f>
        <v>2.522212345090466E-2</v>
      </c>
      <c r="EI137" s="212">
        <f t="shared" si="265"/>
        <v>2.522212345090466E-2</v>
      </c>
      <c r="EN137" s="218"/>
      <c r="EO137" s="212">
        <f t="shared" si="266"/>
        <v>3063.3751744695364</v>
      </c>
      <c r="EQ137" s="212">
        <f t="shared" si="267"/>
        <v>79.264034079682006</v>
      </c>
      <c r="ET137" s="214">
        <f>IF(A137&lt;intermediates!$B$29,ET136+intermediates!$B$63,ET136+intermediates!$B$63*intermediates!$B$67)</f>
        <v>1464.0916413523398</v>
      </c>
      <c r="EU137" s="215">
        <f t="shared" si="268"/>
        <v>1464.0916413523398</v>
      </c>
      <c r="EV137" s="216">
        <f>data!EU137*conversions!$C$13</f>
        <v>1.7027385788927711</v>
      </c>
      <c r="EX137" s="212">
        <f>intermediates!$B$64+intermediates!$B$64*(EXP(-(data!A137-intermediates!$B$66)/intermediates!$B$65)-1)</f>
        <v>6.1312680283430107E-3</v>
      </c>
      <c r="EY137" s="217">
        <f>IF(A137&lt;intermediates!$B$29,data!EX137,data!EY136+(data!EX137-data!EX136)*intermediates!$B$68)</f>
        <v>6.1312680283430107E-3</v>
      </c>
      <c r="EZ137" s="217">
        <f t="shared" si="269"/>
        <v>6.1312680283430107E-3</v>
      </c>
      <c r="FB137" s="212">
        <f>intermediates!$B$94+intermediates!$B$95+(intermediates!$B$95*(EXP(-(data!A137-intermediates!$B$97)/intermediates!$B$96)-1))</f>
        <v>1.5537294120775522</v>
      </c>
      <c r="FC137" s="217">
        <f>IF(A137&lt;intermediates!$B$29,data!FB137,data!FC136+(data!FB137-data!FB136)*intermediates!$B$68)</f>
        <v>1.5537294120775522</v>
      </c>
      <c r="FD137" s="212">
        <f t="shared" si="270"/>
        <v>1.5537294120775522</v>
      </c>
      <c r="FF137" s="184">
        <f>intermediates!$B$98+intermediates!$B$99*EXP(-(A137-intermediates!$B$101)/intermediates!$B$100)</f>
        <v>0.89910161671436162</v>
      </c>
      <c r="FG137" s="184">
        <f t="shared" si="240"/>
        <v>0.89910161671436162</v>
      </c>
      <c r="FI137" s="184">
        <f>intermediates!$B$102+intermediates!$B$103*EXP(-(A137-intermediates!$B$105)/intermediates!$B$104)</f>
        <v>1.4796376651455192E-2</v>
      </c>
      <c r="FJ137" s="184">
        <f t="shared" si="271"/>
        <v>1.4796376651455192E-2</v>
      </c>
      <c r="FL137" s="184">
        <f>intermediates!$B$106</f>
        <v>4.5616870531049965E-2</v>
      </c>
      <c r="FM137" s="184">
        <f t="shared" si="272"/>
        <v>4.5616870531049965E-2</v>
      </c>
      <c r="FN137" s="218">
        <f>IF(A137&lt;intermediates!$B$29,0,IF(A137&lt;intermediates!$B$31,(data!A137-intermediates!$B$29)/(intermediates!$B$31-intermediates!$B$29),1))</f>
        <v>1</v>
      </c>
      <c r="FO137" s="218">
        <f t="shared" si="232"/>
        <v>340152654749181.69</v>
      </c>
      <c r="FP137" s="218">
        <f t="shared" si="177"/>
        <v>378325039601442.31</v>
      </c>
      <c r="FQ137" s="218">
        <f t="shared" si="178"/>
        <v>2319612219629.9268</v>
      </c>
      <c r="FR137" s="218">
        <f t="shared" si="179"/>
        <v>587814741354165.63</v>
      </c>
      <c r="FS137" s="218">
        <f t="shared" si="180"/>
        <v>401487669727.57104</v>
      </c>
      <c r="FT137" s="218">
        <f>intermediates!$B$69*data!EU137/intermediates!$B$71</f>
        <v>3.726601920478898</v>
      </c>
      <c r="FU137" s="218">
        <f>BC137*conversions!$C$1*1000000</f>
        <v>25771837156364.609</v>
      </c>
      <c r="FV137" s="218">
        <f t="shared" si="184"/>
        <v>6915639960023.6143</v>
      </c>
      <c r="FX137" s="221"/>
      <c r="FY137" s="221"/>
      <c r="FZ137" s="221"/>
      <c r="GA137" s="218">
        <f t="shared" si="241"/>
        <v>1469.653122511668</v>
      </c>
      <c r="GB137" s="218">
        <f>GA137*1000000*10000*intermediates!$B$71/(intermediates!$B$72*data!EU137)</f>
        <v>4929601933182.8906</v>
      </c>
      <c r="GC137" s="218">
        <f t="shared" si="233"/>
        <v>8979034091310.1758</v>
      </c>
      <c r="GD137" s="218">
        <f t="shared" si="283"/>
        <v>21225763654244.25</v>
      </c>
      <c r="GE137" s="218">
        <f t="shared" si="182"/>
        <v>22590530986729.586</v>
      </c>
      <c r="GF137" s="218">
        <f t="shared" si="183"/>
        <v>334258005236.02069</v>
      </c>
      <c r="GG137" s="218">
        <f t="shared" si="273"/>
        <v>1030509327249.3159</v>
      </c>
      <c r="GH137" s="218">
        <f t="shared" si="242"/>
        <v>9211364257770.9258</v>
      </c>
      <c r="GI137" s="218">
        <f t="shared" si="274"/>
        <v>169157503266.82031</v>
      </c>
      <c r="GJ137" s="218">
        <f>ET137*intermediates!$B$73/intermediates!$B$71</f>
        <v>5.5899028807183466</v>
      </c>
      <c r="GK137" s="218">
        <f>CL137*conversions!$C$1*1000000/data!GJ137</f>
        <v>4472710463007.6123</v>
      </c>
      <c r="GL137" s="218">
        <f>MIN(1,FN137)*(intermediates!$B$75-data!$GL$69)+data!$GL$69</f>
        <v>1</v>
      </c>
      <c r="GM137" s="218">
        <f>GL137*intermediates!$B$74*(FS137+GC137+GK137+GG137+GF137+GB137+FV137)</f>
        <v>4059486217460.5796</v>
      </c>
      <c r="GN137" s="218">
        <f>MIN(1,FN137)*intermediates!$B$76</f>
        <v>0.12</v>
      </c>
      <c r="GO137" s="218">
        <f t="shared" si="275"/>
        <v>3734727320063.7329</v>
      </c>
      <c r="GP137" s="218">
        <f>IF(A137&gt;intermediates!$B$29,MIN(1,(A137-intermediates!$B$29)/(intermediates!$B$31-intermediates!$B$29))*intermediates!$B$77,0)</f>
        <v>0.15</v>
      </c>
      <c r="GQ137" s="218">
        <f>IF(AND(A137&gt;intermediates!$B$29+intermediates!$B$30,data!GP137&lt;intermediates!$B$77),1,0)</f>
        <v>0</v>
      </c>
      <c r="GR137" s="218">
        <f t="shared" si="243"/>
        <v>7205893461843.75</v>
      </c>
      <c r="GS137" s="218">
        <f t="shared" si="244"/>
        <v>44382960668735.188</v>
      </c>
      <c r="GT137" s="218">
        <f t="shared" si="238"/>
        <v>86708720794625</v>
      </c>
      <c r="GU137" s="218">
        <f t="shared" si="245"/>
        <v>45875324510843.75</v>
      </c>
      <c r="GV137" s="218">
        <f t="shared" si="246"/>
        <v>31122727667197.777</v>
      </c>
      <c r="GW137" s="218">
        <f t="shared" si="247"/>
        <v>3656329076889.8125</v>
      </c>
      <c r="GX137" s="218">
        <f>MIN(intermediates!$B$88,FN137*intermediates!$B$87*GO137)</f>
        <v>1867363660031.8665</v>
      </c>
      <c r="GY137" s="218">
        <f t="shared" si="248"/>
        <v>1867363660031.8665</v>
      </c>
      <c r="GZ137" s="218">
        <f>MIN(intermediates!$B$88-GX137,intermediates!$B$87*data!GW137*FN137)</f>
        <v>1828164538444.9063</v>
      </c>
      <c r="HA137" s="218">
        <f t="shared" si="276"/>
        <v>1828164538444.9063</v>
      </c>
      <c r="HB137" s="218">
        <f t="shared" si="277"/>
        <v>3695528198476.7725</v>
      </c>
      <c r="HC137" s="218">
        <f t="shared" si="249"/>
        <v>6015140418106.6992</v>
      </c>
      <c r="HD137" s="218">
        <f>HC137*intermediates!$B$79/(10000*1000000000)</f>
        <v>399.25015978429417</v>
      </c>
      <c r="HE137" s="218">
        <f>(GV137*intermediates!$B$80+GV137*GL137*intermediates!$B$82)/(10000*1000000000)</f>
        <v>1160.3531498803216</v>
      </c>
      <c r="HF137" s="218">
        <f>GU137*intermediates!$B$78/(10000*1000000000)</f>
        <v>4619.6154707550731</v>
      </c>
      <c r="HG137" s="218">
        <f>HB137*intermediates!$B$81/(10000*1000000000)</f>
        <v>928.92093633254001</v>
      </c>
      <c r="HH137" s="218">
        <f t="shared" si="250"/>
        <v>0</v>
      </c>
      <c r="HI137" s="218">
        <f t="shared" si="251"/>
        <v>16.756752714732784</v>
      </c>
      <c r="HJ137" s="218">
        <f t="shared" si="252"/>
        <v>-1.5091031777438957</v>
      </c>
      <c r="HK137" s="218">
        <f ca="1">SUM(HJ137:INDIRECT(ADDRESS(MAX(CELL("row",HJ137)-intermediates!$B$83,69),CELL("col",HJ137))))/intermediates!$B$83+SUM(HH137:INDIRECT(ADDRESS(MAX(CELL("row",HH137)-intermediates!$B$84,69),CELL("col",HH137))))/intermediates!$B$84+SUM(HI137:INDIRECT(ADDRESS(MAX(CELL("row",HI137)-intermediates!$B$85,69),CELL("col",HI137))))/intermediates!$B$85</f>
        <v>15.973486475363606</v>
      </c>
      <c r="HL137" s="218">
        <f t="shared" ca="1" si="278"/>
        <v>-440.91637653506496</v>
      </c>
      <c r="HM137" s="188">
        <f t="shared" si="253"/>
        <v>2081</v>
      </c>
      <c r="HQ137" s="185">
        <f t="shared" si="254"/>
        <v>899.54318371581394</v>
      </c>
      <c r="HR137" s="185">
        <f t="shared" si="255"/>
        <v>588.20342144789925</v>
      </c>
      <c r="HS137" s="185">
        <f t="shared" si="256"/>
        <v>419.28277646548474</v>
      </c>
      <c r="HT137" s="185">
        <f t="shared" si="257"/>
        <v>380.42229102365127</v>
      </c>
      <c r="HU137" s="185">
        <f t="shared" si="258"/>
        <v>345.27588136944456</v>
      </c>
      <c r="HV137" s="185">
        <f t="shared" si="259"/>
        <v>317.65381085988895</v>
      </c>
      <c r="HW137" s="185">
        <f t="shared" si="260"/>
        <v>612.89066714674198</v>
      </c>
      <c r="HX137" s="185">
        <f t="shared" si="261"/>
        <v>14.387536476781559</v>
      </c>
      <c r="HY137" s="185">
        <f t="shared" si="262"/>
        <v>197.29249236595885</v>
      </c>
      <c r="HZ137" s="185">
        <f t="shared" si="279"/>
        <v>3563.2720320289245</v>
      </c>
      <c r="IA137" s="185">
        <f t="shared" si="280"/>
        <v>3774.9520608716648</v>
      </c>
      <c r="IB137" s="185">
        <f t="shared" si="263"/>
        <v>2613.2301845738384</v>
      </c>
      <c r="IC137" s="185">
        <f t="shared" si="231"/>
        <v>4085.93778097828</v>
      </c>
      <c r="ID137" s="185">
        <f t="shared" si="264"/>
        <v>3288.993033175163</v>
      </c>
      <c r="IE137" s="184">
        <f t="shared" si="281"/>
        <v>-0.1589136078056021</v>
      </c>
      <c r="IF137" s="184">
        <f t="shared" si="282"/>
        <v>-9.455347486899128E-2</v>
      </c>
    </row>
    <row r="138" spans="1:240" x14ac:dyDescent="0.3">
      <c r="A138" s="211">
        <v>2082</v>
      </c>
      <c r="E138" s="207">
        <v>8247595.0880000005</v>
      </c>
      <c r="F138" s="207">
        <v>10706852.426000001</v>
      </c>
      <c r="G138" s="207">
        <v>13680253.502</v>
      </c>
      <c r="I138" s="207">
        <f t="shared" ref="I138:K156" si="284">1000*E138</f>
        <v>8247595088</v>
      </c>
      <c r="J138" s="207">
        <f t="shared" si="284"/>
        <v>10706852426</v>
      </c>
      <c r="K138" s="207">
        <f t="shared" si="284"/>
        <v>13680253502</v>
      </c>
      <c r="L138" s="187">
        <f>IF(intermediates!$B$4&gt;=2,(intermediates!$B$4-2)*K138+(1-(intermediates!$B$4-2))*J138,(intermediates!$B$4-1)*J138+(1-(intermediates!$B$4-1))*I138)</f>
        <v>11804808893.619959</v>
      </c>
      <c r="AJ138" s="184">
        <f>IF(intermediates!$B$46=0,$AJ$74+(intermediates!$B$15-$AJ$74)*MIN(1,(data!A138-data!$A$74)/(intermediates!$B$32-data!$A$74)),IF(A138&lt;2021,$AJ$74+(intermediates!$B$15-$AJ$74)*MIN(1,(data!A138-data!$A$74)/(intermediates!$B$32-data!$A$74)),intermediates!$B$47+(intermediates!$B$15-intermediates!$B$47)*MIN(1,(data!A138-$A$77)/(intermediates!$B$32-$A$77))))</f>
        <v>27400</v>
      </c>
      <c r="AK138" s="192">
        <f t="shared" si="146"/>
        <v>27400</v>
      </c>
      <c r="AL138" s="192">
        <f t="shared" si="234"/>
        <v>323451763685186.88</v>
      </c>
      <c r="AM138" s="192">
        <f>data!AL138/(1000000*conversions!$C$1)</f>
        <v>27724.436887301734</v>
      </c>
      <c r="AN138" s="192">
        <f>IF(intermediates!$B$13=1,($AJ$74+(27400-$AJ$74)*MIN(1,(data!A138-data!$A$74)/(intermediates!$B$32-data!$A$74)))*L138/(1000000*conversions!$C$1),data!AM138)</f>
        <v>27724.436887301734</v>
      </c>
      <c r="AV138" s="214">
        <f>IF(A138&lt;intermediates!$B$29,0,IF(A138&lt;intermediates!$B$31,(data!A138-intermediates!$B$29)*intermediates!$B$26/(intermediates!$B$31-intermediates!$B$29),intermediates!$B$26))</f>
        <v>10</v>
      </c>
      <c r="AW138" s="212">
        <f>MIN(AW137+intermediates!$B$16,intermediates!$B$17*data!$AW$74)</f>
        <v>1897.5897864678325</v>
      </c>
      <c r="AX138" s="212">
        <f>AV138*1000/conversions!$C$16/intermediates!$B$40</f>
        <v>8187.0584968062822</v>
      </c>
      <c r="AY138" s="212">
        <f>AX138*(1-intermediates!$B$39)*intermediates!$B$28/(conversions!$C$2)</f>
        <v>2143.0300372958864</v>
      </c>
      <c r="AZ138" s="213">
        <f>IF(A138&lt;intermediates!$B$29,0,MIN(intermediates!$B$25,intermediates!$B$25*(A138-intermediates!$B$29)/(intermediates!$B$31-intermediates!$B$29)))</f>
        <v>0</v>
      </c>
      <c r="BA138" s="212">
        <f>IF(A138&lt;intermediates!$B$29,data!$BA$74,IF(intermediates!$B$23&gt;data!$BA$74,MIN(intermediates!$B$23,data!$BA$74+(intermediates!$B$23-data!$BA$74)*((data!A138-intermediates!$B$29)/(intermediates!$B$31-intermediates!$B$29))),MAX(intermediates!$B$23,data!$BA$74+(intermediates!$B$23-data!$BA$74)*((data!A138-intermediates!$B$29)/(intermediates!$B$31-intermediates!$B$29)))))</f>
        <v>0.08</v>
      </c>
      <c r="BB138" s="212">
        <f t="shared" si="214"/>
        <v>2217.9549509841386</v>
      </c>
      <c r="BC138" s="212">
        <f t="shared" si="166"/>
        <v>2217.9549509841386</v>
      </c>
      <c r="BD138" s="212">
        <f t="shared" si="167"/>
        <v>0</v>
      </c>
      <c r="BE138" s="214">
        <f>MAX(0,MIN(1,(data!A138-intermediates!$B$29)/(intermediates!$B$31-intermediates!$B$29)))*((intermediates!$B$38*L138)-$BE$69*1000000000)/1000000000+$BE$69</f>
        <v>1475.6011117024948</v>
      </c>
      <c r="BF138" s="214">
        <f t="shared" si="237"/>
        <v>1475.6011117024948</v>
      </c>
      <c r="BG138" s="214">
        <f t="shared" si="168"/>
        <v>0</v>
      </c>
      <c r="BH138" s="214">
        <f>BD138*conversions!$C$2/conversions!$C$17+BG138*conversions!$C$6/conversions!$C$10</f>
        <v>0</v>
      </c>
      <c r="BI138" s="214">
        <f>BH138*intermediates!$B$41*conversions!$C$11/(conversions!$C$2*conversions!$C$6*intermediates!$B$42)</f>
        <v>0</v>
      </c>
      <c r="BJ138" s="214">
        <f>BH138*intermediates!$B$43/(conversions!$C$1*intermediates!$B$42)</f>
        <v>0</v>
      </c>
      <c r="BK138" s="214">
        <f t="shared" si="215"/>
        <v>0</v>
      </c>
      <c r="BL138" s="214">
        <f t="shared" si="216"/>
        <v>27724.436887301734</v>
      </c>
      <c r="BM138" s="214">
        <f t="shared" si="217"/>
        <v>21465.862112553878</v>
      </c>
      <c r="BN138" s="214">
        <f>IF(A138&lt;intermediates!$B$29,MIN(BO137+intermediates!$B$33*AN137),MIN(BO137*intermediates!$B$35,BO137+intermediates!$B$37*AN137))</f>
        <v>22191.051173401273</v>
      </c>
      <c r="BO138" s="212">
        <f>IF(A138&lt;intermediates!$B$29,MIN(BM138,BO137+intermediates!$B$33*AN137),MIN(BM138,BO137*intermediates!$B$35,BO137+intermediates!$B$37*AN137))</f>
        <v>21465.862112553878</v>
      </c>
      <c r="BP138" s="214">
        <f t="shared" si="218"/>
        <v>725.18906084739501</v>
      </c>
      <c r="BQ138" s="214">
        <f t="shared" si="219"/>
        <v>0</v>
      </c>
      <c r="BR138" s="212" t="str">
        <f t="shared" si="235"/>
        <v/>
      </c>
      <c r="BS138" s="212">
        <f>BP138*conversions!$C$1*intermediates!$B$42/intermediates!$B$43</f>
        <v>1618.5324169047055</v>
      </c>
      <c r="BT138" s="214">
        <f>MIN(BT137+BS138,intermediates!$B$27*1000)</f>
        <v>0</v>
      </c>
      <c r="BU138" s="219" t="str">
        <f>IF(AND(BT138=intermediates!$B$27*1000,BT137&lt;&gt;intermediates!$B$27*1000),A138,"")</f>
        <v/>
      </c>
      <c r="BV138" s="212">
        <f>BT138*intermediates!$B$43/(conversions!$C$1*intermediates!$B$42)</f>
        <v>0</v>
      </c>
      <c r="BW138" s="214">
        <f t="shared" si="220"/>
        <v>27724.436887301734</v>
      </c>
      <c r="BX138" s="214">
        <f t="shared" si="221"/>
        <v>21465.862112553878</v>
      </c>
      <c r="BY138" s="227">
        <f>IF(OR(BQ138&gt;0,BT138&lt;&gt;intermediates!$B$27*1000),MAX(0,(BX138-BX137)/AM137),0.000000000001)</f>
        <v>9.9999999999999998E-13</v>
      </c>
      <c r="BZ138" s="322">
        <f>BH138*intermediates!$B$49*1000000</f>
        <v>0</v>
      </c>
      <c r="CA138" s="322">
        <f>BI138*conversions!$C$1*1000000*intermediates!$B$50</f>
        <v>0</v>
      </c>
      <c r="CB138" s="322">
        <f>BT138*1000000*intermediates!$B$49</f>
        <v>0</v>
      </c>
      <c r="CC138" s="214">
        <f>BW138*conversions!$C$1*1000000/L138</f>
        <v>27400</v>
      </c>
      <c r="CD138" s="173">
        <f t="shared" si="239"/>
        <v>2082</v>
      </c>
      <c r="CE138" s="173"/>
      <c r="CF138" s="173"/>
      <c r="CG138" s="173"/>
      <c r="CH138" s="173"/>
      <c r="CI138" s="173">
        <f t="shared" si="222"/>
        <v>0</v>
      </c>
      <c r="CJ138" s="173">
        <f t="shared" si="223"/>
        <v>1897.5897864678325</v>
      </c>
      <c r="CK138" s="173">
        <f t="shared" si="224"/>
        <v>2217.9549509841386</v>
      </c>
      <c r="CL138" s="173">
        <f t="shared" si="225"/>
        <v>2143.0300372958864</v>
      </c>
      <c r="CM138" s="173"/>
      <c r="CN138" s="173"/>
      <c r="CO138" s="329">
        <f t="shared" si="169"/>
        <v>21465.862112553878</v>
      </c>
      <c r="CP138" s="174">
        <f t="shared" si="226"/>
        <v>0</v>
      </c>
      <c r="CQ138" s="228">
        <f t="shared" si="227"/>
        <v>10</v>
      </c>
      <c r="CR138" s="228">
        <f t="shared" si="170"/>
        <v>465</v>
      </c>
      <c r="CS138" s="214">
        <f t="shared" ca="1" si="228"/>
        <v>-26.285374725823431</v>
      </c>
      <c r="CT138" s="190">
        <f t="shared" ca="1" si="229"/>
        <v>-2.2266666883552562</v>
      </c>
      <c r="CU138" s="190">
        <f t="shared" ca="1" si="236"/>
        <v>-26.285374725823431</v>
      </c>
      <c r="CV138" s="198">
        <f t="shared" si="174"/>
        <v>3203.9310777670239</v>
      </c>
      <c r="CW138" s="198">
        <f t="shared" ca="1" si="171"/>
        <v>3796.8898451957907</v>
      </c>
      <c r="CX138" s="198">
        <f t="shared" ca="1" si="230"/>
        <v>3163.5620795762679</v>
      </c>
      <c r="CY138" s="198">
        <f t="shared" ca="1" si="173"/>
        <v>-633.32776561952301</v>
      </c>
      <c r="CZ138" s="199">
        <f ca="1">IF(CX138&lt;intermediates!$B$55,intermediates!$B$56+(CX138-intermediates!$B$55)*intermediates!$B$53,intermediates!$B$56+(data!CX138-intermediates!$B$55)*intermediates!$B$58)</f>
        <v>1.6894358586276674</v>
      </c>
      <c r="DG138" s="201">
        <f>IF(A138&gt;MAX(intermediates!B$31,intermediates!$B$32),DG137,DG137+intermediates!$B$60*DG$73)</f>
        <v>19505207416250</v>
      </c>
      <c r="DH138" s="201">
        <f>IF(A138&gt;MAX(intermediates!B$31,intermediates!$B$32),DH137,DH137+intermediates!$B$61*DH$73)</f>
        <v>28534082329375</v>
      </c>
      <c r="DI138" s="201">
        <f>IF(A138&gt;MAX(intermediates!B$31,intermediates!$B$32),DI137,DI137+intermediates!$B$62*DI$73)</f>
        <v>38669431049000</v>
      </c>
      <c r="DJ138" s="221"/>
      <c r="EE138" s="218"/>
      <c r="EF138" s="212">
        <f>$EF$69+intermediates!$B$90*(A138-2013)*intermediates!$B$92+intermediates!$B$91*intermediates!$B$92*(A138-2013)^2</f>
        <v>3145.0344985492188</v>
      </c>
      <c r="EH138" s="212">
        <f>IF(A138&lt;intermediates!$B$29,data!EH137,IF(A138&lt;intermediates!$B$31,data!$EH$69+(intermediates!$B$93-data!$EH$69)*(data!A138-intermediates!$B$29)/(intermediates!$B$31-intermediates!$B$29),intermediates!$B$93))</f>
        <v>2.522212345090466E-2</v>
      </c>
      <c r="EI138" s="212">
        <f t="shared" si="265"/>
        <v>2.522212345090466E-2</v>
      </c>
      <c r="EN138" s="218"/>
      <c r="EO138" s="212">
        <f t="shared" si="266"/>
        <v>3065.7100501694563</v>
      </c>
      <c r="EQ138" s="212">
        <f t="shared" si="267"/>
        <v>79.324448379762543</v>
      </c>
      <c r="ET138" s="214">
        <f>IF(A138&lt;intermediates!$B$29,ET137+intermediates!$B$63,ET137+intermediates!$B$63*intermediates!$B$67)</f>
        <v>1474.0672307437826</v>
      </c>
      <c r="EU138" s="215">
        <f t="shared" si="268"/>
        <v>1474.0672307437826</v>
      </c>
      <c r="EV138" s="216">
        <f>data!EU138*conversions!$C$13</f>
        <v>1.7143401893550192</v>
      </c>
      <c r="EX138" s="212">
        <f>intermediates!$B$64+intermediates!$B$64*(EXP(-(data!A138-intermediates!$B$66)/intermediates!$B$65)-1)</f>
        <v>6.0172847728405948E-3</v>
      </c>
      <c r="EY138" s="217">
        <f>IF(A138&lt;intermediates!$B$29,data!EX138,data!EY137+(data!EX138-data!EX137)*intermediates!$B$68)</f>
        <v>6.0172847728405948E-3</v>
      </c>
      <c r="EZ138" s="217">
        <f t="shared" si="269"/>
        <v>6.0172847728405948E-3</v>
      </c>
      <c r="FB138" s="212">
        <f>intermediates!$B$94+intermediates!$B$95+(intermediates!$B$95*(EXP(-(data!A138-intermediates!$B$97)/intermediates!$B$96)-1))</f>
        <v>1.5522641863751883</v>
      </c>
      <c r="FC138" s="217">
        <f>IF(A138&lt;intermediates!$B$29,data!FB138,data!FC137+(data!FB138-data!FB137)*intermediates!$B$68)</f>
        <v>1.5522641863751883</v>
      </c>
      <c r="FD138" s="212">
        <f t="shared" si="270"/>
        <v>1.5522641863751883</v>
      </c>
      <c r="FF138" s="184">
        <f>intermediates!$B$98+intermediates!$B$99*EXP(-(A138-intermediates!$B$101)/intermediates!$B$100)</f>
        <v>0.89934008151903222</v>
      </c>
      <c r="FG138" s="184">
        <f t="shared" si="240"/>
        <v>0.89934008151903222</v>
      </c>
      <c r="FI138" s="184">
        <f>intermediates!$B$102+intermediates!$B$103*EXP(-(A138-intermediates!$B$105)/intermediates!$B$104)</f>
        <v>1.4738804861508154E-2</v>
      </c>
      <c r="FJ138" s="184">
        <f t="shared" si="271"/>
        <v>1.4738804861508154E-2</v>
      </c>
      <c r="FL138" s="184">
        <f>intermediates!$B$106</f>
        <v>4.5616870531049965E-2</v>
      </c>
      <c r="FM138" s="184">
        <f t="shared" si="272"/>
        <v>4.5616870531049965E-2</v>
      </c>
      <c r="FN138" s="218">
        <f>IF(A138&lt;intermediates!$B$29,0,IF(A138&lt;intermediates!$B$31,(data!A138-intermediates!$B$29)/(intermediates!$B$31-intermediates!$B$29),1))</f>
        <v>1</v>
      </c>
      <c r="FO138" s="218">
        <f t="shared" si="232"/>
        <v>341789633105945.13</v>
      </c>
      <c r="FP138" s="218">
        <f t="shared" si="177"/>
        <v>380044924194465.63</v>
      </c>
      <c r="FQ138" s="218">
        <f t="shared" si="178"/>
        <v>2286838535350.7163</v>
      </c>
      <c r="FR138" s="218">
        <f t="shared" si="179"/>
        <v>589930125040742.25</v>
      </c>
      <c r="FS138" s="218">
        <f t="shared" si="180"/>
        <v>400205711609.96246</v>
      </c>
      <c r="FT138" s="218">
        <f>intermediates!$B$69*data!EU138/intermediates!$B$71</f>
        <v>3.7519931251918228</v>
      </c>
      <c r="FU138" s="218">
        <f>BC138*conversions!$C$1*1000000</f>
        <v>25876141094814.949</v>
      </c>
      <c r="FV138" s="218">
        <f t="shared" si="184"/>
        <v>6896638728113.8789</v>
      </c>
      <c r="FX138" s="221"/>
      <c r="FY138" s="221"/>
      <c r="FZ138" s="221"/>
      <c r="GA138" s="218">
        <f t="shared" si="241"/>
        <v>1475.6011117024948</v>
      </c>
      <c r="GB138" s="218">
        <f>GA138*1000000*10000*intermediates!$B$71/(intermediates!$B$72*data!EU138)</f>
        <v>4916057487535.5537</v>
      </c>
      <c r="GC138" s="218">
        <f t="shared" si="233"/>
        <v>8961188463054.3613</v>
      </c>
      <c r="GD138" s="218">
        <f t="shared" si="283"/>
        <v>21174090390313.758</v>
      </c>
      <c r="GE138" s="218">
        <f t="shared" si="182"/>
        <v>22534154504854.508</v>
      </c>
      <c r="GF138" s="218">
        <f t="shared" si="183"/>
        <v>332126505966.12549</v>
      </c>
      <c r="GG138" s="218">
        <f t="shared" si="273"/>
        <v>1027937608574.6244</v>
      </c>
      <c r="GH138" s="218">
        <f t="shared" si="242"/>
        <v>9193056878535.9863</v>
      </c>
      <c r="GI138" s="218">
        <f t="shared" si="274"/>
        <v>168337296128.33789</v>
      </c>
      <c r="GJ138" s="218">
        <f>ET138*intermediates!$B$73/intermediates!$B$71</f>
        <v>5.6279896877877347</v>
      </c>
      <c r="GK138" s="218">
        <f>CL138*conversions!$C$1*1000000/data!GJ138</f>
        <v>4442441882229.7451</v>
      </c>
      <c r="GL138" s="218">
        <f>MIN(1,FN138)*(intermediates!$B$75-data!$GL$69)+data!$GL$69</f>
        <v>1</v>
      </c>
      <c r="GM138" s="218">
        <f>GL138*intermediates!$B$74*(FS138+GC138+GK138+GG138+GF138+GB138+FV138)</f>
        <v>4046489458062.6377</v>
      </c>
      <c r="GN138" s="218">
        <f>MIN(1,FN138)*intermediates!$B$76</f>
        <v>0.12</v>
      </c>
      <c r="GO138" s="218">
        <f t="shared" si="275"/>
        <v>3722770301417.6265</v>
      </c>
      <c r="GP138" s="218">
        <f>IF(A138&gt;intermediates!$B$29,MIN(1,(A138-intermediates!$B$29)/(intermediates!$B$31-intermediates!$B$29))*intermediates!$B$77,0)</f>
        <v>0.15</v>
      </c>
      <c r="GQ138" s="218">
        <f>IF(AND(A138&gt;intermediates!$B$29+intermediates!$B$30,data!GP138&lt;intermediates!$B$77),1,0)</f>
        <v>0</v>
      </c>
      <c r="GR138" s="218">
        <f t="shared" si="243"/>
        <v>7205893461843.75</v>
      </c>
      <c r="GS138" s="218">
        <f t="shared" si="244"/>
        <v>44238588143758.984</v>
      </c>
      <c r="GT138" s="218">
        <f t="shared" si="238"/>
        <v>86708720794625</v>
      </c>
      <c r="GU138" s="218">
        <f t="shared" si="245"/>
        <v>45875324510843.75</v>
      </c>
      <c r="GV138" s="218">
        <f t="shared" si="246"/>
        <v>31023085845146.891</v>
      </c>
      <c r="GW138" s="218">
        <f t="shared" si="247"/>
        <v>3800701601866.0156</v>
      </c>
      <c r="GX138" s="218">
        <f>MIN(intermediates!$B$88,FN138*intermediates!$B$87*GO138)</f>
        <v>1861385150708.8132</v>
      </c>
      <c r="GY138" s="218">
        <f t="shared" si="248"/>
        <v>1861385150708.8132</v>
      </c>
      <c r="GZ138" s="218">
        <f>MIN(intermediates!$B$88-GX138,intermediates!$B$87*data!GW138*FN138)</f>
        <v>1900350800933.0078</v>
      </c>
      <c r="HA138" s="218">
        <f t="shared" si="276"/>
        <v>1900350800933.0078</v>
      </c>
      <c r="HB138" s="218">
        <f t="shared" si="277"/>
        <v>3761735951641.8213</v>
      </c>
      <c r="HC138" s="218">
        <f t="shared" si="249"/>
        <v>6048574486992.5371</v>
      </c>
      <c r="HD138" s="218">
        <f>HC138*intermediates!$B$79/(10000*1000000000)</f>
        <v>401.46931950743681</v>
      </c>
      <c r="HE138" s="218">
        <f>(GV138*intermediates!$B$80+GV138*GL138*intermediates!$B$82)/(10000*1000000000)</f>
        <v>1156.6381894400636</v>
      </c>
      <c r="HF138" s="218">
        <f>GU138*intermediates!$B$78/(10000*1000000000)</f>
        <v>4619.6154707550731</v>
      </c>
      <c r="HG138" s="218">
        <f>HB138*intermediates!$B$81/(10000*1000000000)</f>
        <v>945.56314950463843</v>
      </c>
      <c r="HH138" s="218">
        <f t="shared" si="250"/>
        <v>0</v>
      </c>
      <c r="HI138" s="218">
        <f t="shared" si="251"/>
        <v>16.642213172098423</v>
      </c>
      <c r="HJ138" s="218">
        <f t="shared" si="252"/>
        <v>-1.495800717115344</v>
      </c>
      <c r="HK138" s="218">
        <f ca="1">SUM(HJ138:INDIRECT(ADDRESS(MAX(CELL("row",HJ138)-intermediates!$B$83,69),CELL("col",HJ138))))/intermediates!$B$83+SUM(HH138:INDIRECT(ADDRESS(MAX(CELL("row",HH138)-intermediates!$B$84,69),CELL("col",HH138))))/intermediates!$B$84+SUM(HI138:INDIRECT(ADDRESS(MAX(CELL("row",HI138)-intermediates!$B$85,69),CELL("col",HI138))))/intermediates!$B$85</f>
        <v>16.285374725823431</v>
      </c>
      <c r="HL138" s="218">
        <f t="shared" ca="1" si="278"/>
        <v>-424.63100180924152</v>
      </c>
      <c r="HM138" s="188">
        <f t="shared" si="253"/>
        <v>2082</v>
      </c>
      <c r="HQ138" s="185">
        <f t="shared" si="254"/>
        <v>893.96796578217277</v>
      </c>
      <c r="HR138" s="185">
        <f t="shared" si="255"/>
        <v>584.2228188752166</v>
      </c>
      <c r="HS138" s="185">
        <f t="shared" si="256"/>
        <v>416.44532595461942</v>
      </c>
      <c r="HT138" s="185">
        <f t="shared" si="257"/>
        <v>376.32476071939737</v>
      </c>
      <c r="HU138" s="185">
        <f t="shared" si="258"/>
        <v>342.78313986511108</v>
      </c>
      <c r="HV138" s="185">
        <f t="shared" si="259"/>
        <v>315.36048867590216</v>
      </c>
      <c r="HW138" s="185">
        <f t="shared" si="260"/>
        <v>610.42017086259273</v>
      </c>
      <c r="HX138" s="185">
        <f t="shared" si="261"/>
        <v>14.260061102667885</v>
      </c>
      <c r="HY138" s="185">
        <f t="shared" si="262"/>
        <v>193.72092813689375</v>
      </c>
      <c r="HZ138" s="185">
        <f t="shared" si="279"/>
        <v>3539.5246707350125</v>
      </c>
      <c r="IA138" s="185">
        <f t="shared" si="280"/>
        <v>3747.505659974574</v>
      </c>
      <c r="IB138" s="185">
        <f t="shared" si="263"/>
        <v>2613.2301845738384</v>
      </c>
      <c r="IC138" s="185">
        <f t="shared" si="231"/>
        <v>4069.4678057506185</v>
      </c>
      <c r="ID138" s="185">
        <f t="shared" si="264"/>
        <v>3275.7354564121174</v>
      </c>
      <c r="IE138" s="184">
        <f t="shared" si="281"/>
        <v>-0.16177836765733453</v>
      </c>
      <c r="IF138" s="184">
        <f t="shared" si="282"/>
        <v>-9.8286980148478365E-2</v>
      </c>
    </row>
    <row r="139" spans="1:240" x14ac:dyDescent="0.3">
      <c r="A139" s="211">
        <v>2083</v>
      </c>
      <c r="E139" s="207">
        <v>8203957.9580000099</v>
      </c>
      <c r="F139" s="207">
        <v>10722171.375</v>
      </c>
      <c r="G139" s="207">
        <v>13782308.789000001</v>
      </c>
      <c r="I139" s="207">
        <f t="shared" si="284"/>
        <v>8203957958.0000095</v>
      </c>
      <c r="J139" s="207">
        <f t="shared" si="284"/>
        <v>10722171375</v>
      </c>
      <c r="K139" s="207">
        <f t="shared" si="284"/>
        <v>13782308789</v>
      </c>
      <c r="L139" s="187">
        <f>IF(intermediates!$B$4&gt;=2,(intermediates!$B$4-2)*K139+(1-(intermediates!$B$4-2))*J139,(intermediates!$B$4-1)*J139+(1-(intermediates!$B$4-1))*I139)</f>
        <v>11852156055.716888</v>
      </c>
      <c r="AJ139" s="184">
        <f>IF(intermediates!$B$46=0,$AJ$74+(intermediates!$B$15-$AJ$74)*MIN(1,(data!A139-data!$A$74)/(intermediates!$B$32-data!$A$74)),IF(A139&lt;2021,$AJ$74+(intermediates!$B$15-$AJ$74)*MIN(1,(data!A139-data!$A$74)/(intermediates!$B$32-data!$A$74)),intermediates!$B$47+(intermediates!$B$15-intermediates!$B$47)*MIN(1,(data!A139-$A$77)/(intermediates!$B$32-$A$77))))</f>
        <v>27400</v>
      </c>
      <c r="AK139" s="192">
        <f t="shared" ref="AK139:AK156" si="285">AJ139</f>
        <v>27400</v>
      </c>
      <c r="AL139" s="192">
        <f t="shared" si="234"/>
        <v>324749075926642.75</v>
      </c>
      <c r="AM139" s="192">
        <f>data!AL139/(1000000*conversions!$C$1)</f>
        <v>27835.635079426524</v>
      </c>
      <c r="AN139" s="192">
        <f>IF(intermediates!$B$13=1,($AJ$74+(27400-$AJ$74)*MIN(1,(data!A139-data!$A$74)/(intermediates!$B$32-data!$A$74)))*L139/(1000000*conversions!$C$1),data!AM139)</f>
        <v>27835.635079426524</v>
      </c>
      <c r="AV139" s="214">
        <f>IF(A139&lt;intermediates!$B$29,0,IF(A139&lt;intermediates!$B$31,(data!A139-intermediates!$B$29)*intermediates!$B$26/(intermediates!$B$31-intermediates!$B$29),intermediates!$B$26))</f>
        <v>10</v>
      </c>
      <c r="AW139" s="212">
        <f>MIN(AW138+intermediates!$B$16,intermediates!$B$17*data!$AW$74)</f>
        <v>1897.5897864678325</v>
      </c>
      <c r="AX139" s="212">
        <f>AV139*1000/conversions!$C$16/intermediates!$B$40</f>
        <v>8187.0584968062822</v>
      </c>
      <c r="AY139" s="212">
        <f>AX139*(1-intermediates!$B$39)*intermediates!$B$28/(conversions!$C$2)</f>
        <v>2143.0300372958864</v>
      </c>
      <c r="AZ139" s="213">
        <f>IF(A139&lt;intermediates!$B$29,0,MIN(intermediates!$B$25,intermediates!$B$25*(A139-intermediates!$B$29)/(intermediates!$B$31-intermediates!$B$29)))</f>
        <v>0</v>
      </c>
      <c r="BA139" s="212">
        <f>IF(A139&lt;intermediates!$B$29,data!$BA$74,IF(intermediates!$B$23&gt;data!$BA$74,MIN(intermediates!$B$23,data!$BA$74+(intermediates!$B$23-data!$BA$74)*((data!A139-intermediates!$B$29)/(intermediates!$B$31-intermediates!$B$29))),MAX(intermediates!$B$23,data!$BA$74+(intermediates!$B$23-data!$BA$74)*((data!A139-intermediates!$B$29)/(intermediates!$B$31-intermediates!$B$29)))))</f>
        <v>0.08</v>
      </c>
      <c r="BB139" s="212">
        <f t="shared" ref="BB139:BB156" si="286">BA139*AM139</f>
        <v>2226.8508063541221</v>
      </c>
      <c r="BC139" s="212">
        <f t="shared" si="166"/>
        <v>2226.8508063541221</v>
      </c>
      <c r="BD139" s="212">
        <f t="shared" si="167"/>
        <v>0</v>
      </c>
      <c r="BE139" s="214">
        <f>MAX(0,MIN(1,(data!A139-intermediates!$B$29)/(intermediates!$B$31-intermediates!$B$29)))*((intermediates!$B$38*L139)-$BE$69*1000000000)/1000000000+$BE$69</f>
        <v>1481.5195069646111</v>
      </c>
      <c r="BF139" s="214">
        <f t="shared" si="237"/>
        <v>1481.5195069646111</v>
      </c>
      <c r="BG139" s="214">
        <f t="shared" si="168"/>
        <v>0</v>
      </c>
      <c r="BH139" s="214">
        <f>BD139*conversions!$C$2/conversions!$C$17+BG139*conversions!$C$6/conversions!$C$10</f>
        <v>0</v>
      </c>
      <c r="BI139" s="214">
        <f>BH139*intermediates!$B$41*conversions!$C$11/(conversions!$C$2*conversions!$C$6*intermediates!$B$42)</f>
        <v>0</v>
      </c>
      <c r="BJ139" s="214">
        <f>BH139*intermediates!$B$43/(conversions!$C$1*intermediates!$B$42)</f>
        <v>0</v>
      </c>
      <c r="BK139" s="214">
        <f t="shared" ref="BK139:BK156" si="287">BI139+BJ139</f>
        <v>0</v>
      </c>
      <c r="BL139" s="214">
        <f t="shared" ref="BL139:BL156" si="288">BK139+AM139</f>
        <v>27835.635079426524</v>
      </c>
      <c r="BM139" s="214">
        <f t="shared" ref="BM139:BM156" si="289">BL139-(AW139+AY139+BB139)</f>
        <v>21568.164449308682</v>
      </c>
      <c r="BN139" s="214">
        <f>IF(A139&lt;intermediates!$B$29,MIN(BO138+intermediates!$B$33*AN138),MIN(BO138*intermediates!$B$35,BO138+intermediates!$B$37*AN138))</f>
        <v>22297.216154211044</v>
      </c>
      <c r="BO139" s="212">
        <f>IF(A139&lt;intermediates!$B$29,MIN(BM139,BO138+intermediates!$B$33*AN138),MIN(BM139,BO138*intermediates!$B$35,BO138+intermediates!$B$37*AN138))</f>
        <v>21568.164449308682</v>
      </c>
      <c r="BP139" s="214">
        <f t="shared" ref="BP139:BP156" si="290">BN139-BO139</f>
        <v>729.05170490236196</v>
      </c>
      <c r="BQ139" s="214">
        <f t="shared" ref="BQ139:BQ156" si="291">BL139-(AW139+BO139+AY139+BB139)</f>
        <v>0</v>
      </c>
      <c r="BR139" s="212" t="str">
        <f t="shared" si="235"/>
        <v/>
      </c>
      <c r="BS139" s="212">
        <f>BP139*conversions!$C$1*intermediates!$B$42/intermediates!$B$43</f>
        <v>1627.1533613665858</v>
      </c>
      <c r="BT139" s="214">
        <f>MIN(BT138+BS139,intermediates!$B$27*1000)</f>
        <v>0</v>
      </c>
      <c r="BU139" s="219" t="str">
        <f>IF(AND(BT139=intermediates!$B$27*1000,BT138&lt;&gt;intermediates!$B$27*1000),A139,"")</f>
        <v/>
      </c>
      <c r="BV139" s="212">
        <f>BT139*intermediates!$B$43/(conversions!$C$1*intermediates!$B$42)</f>
        <v>0</v>
      </c>
      <c r="BW139" s="214">
        <f t="shared" ref="BW139:BW156" si="292">BV139+BL139</f>
        <v>27835.635079426524</v>
      </c>
      <c r="BX139" s="214">
        <f t="shared" ref="BX139:BX156" si="293">BV139+BO139</f>
        <v>21568.164449308682</v>
      </c>
      <c r="BY139" s="227">
        <f>IF(OR(BQ139&gt;0,BT139&lt;&gt;intermediates!$B$27*1000),MAX(0,(BX139-BX138)/AM138),0.000000000001)</f>
        <v>9.9999999999999998E-13</v>
      </c>
      <c r="BZ139" s="322">
        <f>BH139*intermediates!$B$49*1000000</f>
        <v>0</v>
      </c>
      <c r="CA139" s="322">
        <f>BI139*conversions!$C$1*1000000*intermediates!$B$50</f>
        <v>0</v>
      </c>
      <c r="CB139" s="322">
        <f>BT139*1000000*intermediates!$B$49</f>
        <v>0</v>
      </c>
      <c r="CC139" s="214">
        <f>BW139*conversions!$C$1*1000000/L139</f>
        <v>27400</v>
      </c>
      <c r="CD139" s="173">
        <f t="shared" si="239"/>
        <v>2083</v>
      </c>
      <c r="CE139" s="173"/>
      <c r="CF139" s="173"/>
      <c r="CG139" s="173"/>
      <c r="CH139" s="173"/>
      <c r="CI139" s="173">
        <f t="shared" ref="CI139:CI156" si="294">BQ139</f>
        <v>0</v>
      </c>
      <c r="CJ139" s="173">
        <f t="shared" ref="CJ139:CJ156" si="295">AW139</f>
        <v>1897.5897864678325</v>
      </c>
      <c r="CK139" s="173">
        <f t="shared" ref="CK139:CK156" si="296">BB139</f>
        <v>2226.8508063541221</v>
      </c>
      <c r="CL139" s="173">
        <f t="shared" ref="CL139:CL156" si="297">AY139</f>
        <v>2143.0300372958864</v>
      </c>
      <c r="CM139" s="173"/>
      <c r="CN139" s="173"/>
      <c r="CO139" s="329">
        <f t="shared" si="169"/>
        <v>21568.164449308682</v>
      </c>
      <c r="CP139" s="174">
        <f t="shared" ref="CP139:CP156" si="298">BQ139*$AF$5/1000</f>
        <v>0</v>
      </c>
      <c r="CQ139" s="228">
        <f t="shared" ref="CQ139:CQ156" si="299">AV139+BT139/1000</f>
        <v>10</v>
      </c>
      <c r="CR139" s="228">
        <f t="shared" si="170"/>
        <v>475</v>
      </c>
      <c r="CS139" s="214">
        <f t="shared" ref="CS139:CS155" ca="1" si="300">CP139-(CQ139+HK139)</f>
        <v>-26.596188463892055</v>
      </c>
      <c r="CT139" s="190">
        <f t="shared" ref="CT139:CT156" ca="1" si="301">1000000000*CS139/L139</f>
        <v>-2.2439958045492814</v>
      </c>
      <c r="CU139" s="190">
        <f t="shared" ca="1" si="236"/>
        <v>-26.596188463892055</v>
      </c>
      <c r="CV139" s="198">
        <f>CV138+CP139</f>
        <v>3203.9310777670239</v>
      </c>
      <c r="CW139" s="198">
        <f t="shared" ca="1" si="171"/>
        <v>3796.8898451957907</v>
      </c>
      <c r="CX139" s="198">
        <f t="shared" ref="CX139:CX156" ca="1" si="302">CX138+CS139</f>
        <v>3136.9658911123761</v>
      </c>
      <c r="CY139" s="198">
        <f t="shared" ca="1" si="173"/>
        <v>-659.92395408341508</v>
      </c>
      <c r="CZ139" s="199">
        <f ca="1">IF(CX139&lt;intermediates!$B$55,intermediates!$B$56+(CX139-intermediates!$B$55)*intermediates!$B$53,intermediates!$B$56+(data!CX139-intermediates!$B$55)*intermediates!$B$58)</f>
        <v>1.6749728593808577</v>
      </c>
      <c r="DG139" s="201">
        <f>IF(A139&gt;MAX(intermediates!B$31,intermediates!$B$32),DG138,DG138+intermediates!$B$60*DG$73)</f>
        <v>19505207416250</v>
      </c>
      <c r="DH139" s="201">
        <f>IF(A139&gt;MAX(intermediates!B$31,intermediates!$B$32),DH138,DH138+intermediates!$B$61*DH$73)</f>
        <v>28534082329375</v>
      </c>
      <c r="DI139" s="201">
        <f>IF(A139&gt;MAX(intermediates!B$31,intermediates!$B$32),DI138,DI138+intermediates!$B$62*DI$73)</f>
        <v>38669431049000</v>
      </c>
      <c r="DJ139" s="221"/>
      <c r="EE139" s="218"/>
      <c r="EF139" s="212">
        <f>$EF$69+intermediates!$B$90*(A139-2013)*intermediates!$B$92+intermediates!$B$91*intermediates!$B$92*(A139-2013)^2</f>
        <v>3147.3483885492187</v>
      </c>
      <c r="EH139" s="212">
        <f>IF(A139&lt;intermediates!$B$29,data!EH138,IF(A139&lt;intermediates!$B$31,data!$EH$69+(intermediates!$B$93-data!$EH$69)*(data!A139-intermediates!$B$29)/(intermediates!$B$31-intermediates!$B$29),intermediates!$B$93))</f>
        <v>2.522212345090466E-2</v>
      </c>
      <c r="EI139" s="212">
        <f t="shared" si="265"/>
        <v>2.522212345090466E-2</v>
      </c>
      <c r="EN139" s="218"/>
      <c r="EO139" s="212">
        <f t="shared" si="266"/>
        <v>3067.9655789502244</v>
      </c>
      <c r="EQ139" s="212">
        <f t="shared" si="267"/>
        <v>79.382809598994299</v>
      </c>
      <c r="ET139" s="214">
        <f>IF(A139&lt;intermediates!$B$29,ET138+intermediates!$B$63,ET138+intermediates!$B$63*intermediates!$B$67)</f>
        <v>1484.0428201352254</v>
      </c>
      <c r="EU139" s="215">
        <f t="shared" si="268"/>
        <v>1484.0428201352254</v>
      </c>
      <c r="EV139" s="216">
        <f>data!EU139*conversions!$C$13</f>
        <v>1.725941799817267</v>
      </c>
      <c r="EX139" s="212">
        <f>intermediates!$B$64+intermediates!$B$64*(EXP(-(data!A139-intermediates!$B$66)/intermediates!$B$65)-1)</f>
        <v>5.9054205215107042E-3</v>
      </c>
      <c r="EY139" s="217">
        <f>IF(A139&lt;intermediates!$B$29,data!EX139,data!EY138+(data!EX139-data!EX138)*intermediates!$B$68)</f>
        <v>5.9054205215107042E-3</v>
      </c>
      <c r="EZ139" s="217">
        <f t="shared" si="269"/>
        <v>5.9054205215107042E-3</v>
      </c>
      <c r="FB139" s="212">
        <f>intermediates!$B$94+intermediates!$B$95+(intermediates!$B$95*(EXP(-(data!A139-intermediates!$B$97)/intermediates!$B$96)-1))</f>
        <v>1.5508389180495357</v>
      </c>
      <c r="FC139" s="217">
        <f>IF(A139&lt;intermediates!$B$29,data!FB139,data!FC138+(data!FB139-data!FB138)*intermediates!$B$68)</f>
        <v>1.5508389180495357</v>
      </c>
      <c r="FD139" s="212">
        <f t="shared" si="270"/>
        <v>1.5508389180495357</v>
      </c>
      <c r="FF139" s="184">
        <f>intermediates!$B$98+intermediates!$B$99*EXP(-(A139-intermediates!$B$101)/intermediates!$B$100)</f>
        <v>0.89957332853482752</v>
      </c>
      <c r="FG139" s="184">
        <f t="shared" si="240"/>
        <v>0.89957332853482752</v>
      </c>
      <c r="FI139" s="184">
        <f>intermediates!$B$102+intermediates!$B$103*EXP(-(A139-intermediates!$B$105)/intermediates!$B$104)</f>
        <v>1.468274215289082E-2</v>
      </c>
      <c r="FJ139" s="184">
        <f t="shared" si="271"/>
        <v>1.468274215289082E-2</v>
      </c>
      <c r="FL139" s="184">
        <f>intermediates!$B$106</f>
        <v>4.5616870531049965E-2</v>
      </c>
      <c r="FM139" s="184">
        <f t="shared" si="272"/>
        <v>4.5616870531049965E-2</v>
      </c>
      <c r="FN139" s="218">
        <f>IF(A139&lt;intermediates!$B$29,0,IF(A139&lt;intermediates!$B$31,(data!A139-intermediates!$B$29)/(intermediates!$B$31-intermediates!$B$29),1))</f>
        <v>1</v>
      </c>
      <c r="FO139" s="218">
        <f t="shared" si="232"/>
        <v>343412968340617.5</v>
      </c>
      <c r="FP139" s="218">
        <f t="shared" si="177"/>
        <v>381750945084097.25</v>
      </c>
      <c r="FQ139" s="218">
        <f t="shared" si="178"/>
        <v>2254399865205.7339</v>
      </c>
      <c r="FR139" s="218">
        <f t="shared" si="179"/>
        <v>592034222638609.13</v>
      </c>
      <c r="FS139" s="218">
        <f t="shared" si="180"/>
        <v>398933382922.64587</v>
      </c>
      <c r="FT139" s="218">
        <f>intermediates!$B$69*data!EU139/intermediates!$B$71</f>
        <v>3.7773843299047476</v>
      </c>
      <c r="FU139" s="218">
        <f>BC139*conversions!$C$1*1000000</f>
        <v>25979926074131.426</v>
      </c>
      <c r="FV139" s="218">
        <f t="shared" si="184"/>
        <v>6877755559171.96</v>
      </c>
      <c r="FX139" s="221"/>
      <c r="FY139" s="221"/>
      <c r="FZ139" s="221"/>
      <c r="GA139" s="218">
        <f t="shared" si="241"/>
        <v>1481.5195069646111</v>
      </c>
      <c r="GB139" s="218">
        <f>GA139*1000000*10000*intermediates!$B$71/(intermediates!$B$72*data!EU139)</f>
        <v>4902597199455.377</v>
      </c>
      <c r="GC139" s="218">
        <f t="shared" si="233"/>
        <v>8943227451058.3145</v>
      </c>
      <c r="GD139" s="218">
        <f t="shared" si="283"/>
        <v>21122513592608.293</v>
      </c>
      <c r="GE139" s="218">
        <f t="shared" si="182"/>
        <v>22477923684737.121</v>
      </c>
      <c r="GF139" s="218">
        <f t="shared" si="183"/>
        <v>330037557595.35266</v>
      </c>
      <c r="GG139" s="218">
        <f t="shared" si="273"/>
        <v>1025372534533.4749</v>
      </c>
      <c r="GH139" s="218">
        <f t="shared" si="242"/>
        <v>9174631130036.6113</v>
      </c>
      <c r="GI139" s="218">
        <f t="shared" si="274"/>
        <v>167529703944.34961</v>
      </c>
      <c r="GJ139" s="218">
        <f>ET139*intermediates!$B$73/intermediates!$B$71</f>
        <v>5.6660764948571218</v>
      </c>
      <c r="GK139" s="218">
        <f>CL139*conversions!$C$1*1000000/data!GJ139</f>
        <v>4412580226278.043</v>
      </c>
      <c r="GL139" s="218">
        <f>MIN(1,FN139)*(intermediates!$B$75-data!$GL$69)+data!$GL$69</f>
        <v>1</v>
      </c>
      <c r="GM139" s="218">
        <f>GL139*intermediates!$B$74*(FS139+GC139+GK139+GG139+GF139+GB139+FV139)</f>
        <v>4033575586652.2754</v>
      </c>
      <c r="GN139" s="218">
        <f>MIN(1,FN139)*intermediates!$B$76</f>
        <v>0.12</v>
      </c>
      <c r="GO139" s="218">
        <f t="shared" si="275"/>
        <v>3710889539720.0928</v>
      </c>
      <c r="GP139" s="218">
        <f>IF(A139&gt;intermediates!$B$29,MIN(1,(A139-intermediates!$B$29)/(intermediates!$B$31-intermediates!$B$29))*intermediates!$B$77,0)</f>
        <v>0.15</v>
      </c>
      <c r="GQ139" s="218">
        <f>IF(AND(A139&gt;intermediates!$B$29+intermediates!$B$30,data!GP139&lt;intermediates!$B$77),1,0)</f>
        <v>0</v>
      </c>
      <c r="GR139" s="218">
        <f t="shared" si="243"/>
        <v>7205893461843.75</v>
      </c>
      <c r="GS139" s="218">
        <f t="shared" si="244"/>
        <v>44095262364437.023</v>
      </c>
      <c r="GT139" s="218">
        <f t="shared" si="238"/>
        <v>86708720794625</v>
      </c>
      <c r="GU139" s="218">
        <f t="shared" si="245"/>
        <v>45875324510843.75</v>
      </c>
      <c r="GV139" s="218">
        <f t="shared" si="246"/>
        <v>30924079497667.445</v>
      </c>
      <c r="GW139" s="218">
        <f t="shared" si="247"/>
        <v>3944027381187.9766</v>
      </c>
      <c r="GX139" s="218">
        <f>MIN(intermediates!$B$88,FN139*intermediates!$B$87*GO139)</f>
        <v>1855444769860.0464</v>
      </c>
      <c r="GY139" s="218">
        <f t="shared" si="248"/>
        <v>1855444769860.0464</v>
      </c>
      <c r="GZ139" s="218">
        <f>MIN(intermediates!$B$88-GX139,intermediates!$B$87*data!GW139*FN139)</f>
        <v>1972013690593.9883</v>
      </c>
      <c r="HA139" s="218">
        <f t="shared" si="276"/>
        <v>1972013690593.9883</v>
      </c>
      <c r="HB139" s="218">
        <f t="shared" si="277"/>
        <v>3827458460454.0347</v>
      </c>
      <c r="HC139" s="218">
        <f t="shared" si="249"/>
        <v>6081858325659.7686</v>
      </c>
      <c r="HD139" s="218">
        <f>HC139*intermediates!$B$79/(10000*1000000000)</f>
        <v>403.67850781933822</v>
      </c>
      <c r="HE139" s="218">
        <f>(GV139*intermediates!$B$80+GV139*GL139*intermediates!$B$82)/(10000*1000000000)</f>
        <v>1152.946921490018</v>
      </c>
      <c r="HF139" s="218">
        <f>GU139*intermediates!$B$78/(10000*1000000000)</f>
        <v>4619.6154707550731</v>
      </c>
      <c r="HG139" s="218">
        <f>HB139*intermediates!$B$81/(10000*1000000000)</f>
        <v>962.08338995338636</v>
      </c>
      <c r="HH139" s="218">
        <f t="shared" si="250"/>
        <v>0</v>
      </c>
      <c r="HI139" s="218">
        <f t="shared" si="251"/>
        <v>16.520240448747927</v>
      </c>
      <c r="HJ139" s="218">
        <f t="shared" si="252"/>
        <v>-1.482079638144171</v>
      </c>
      <c r="HK139" s="218">
        <f ca="1">SUM(HJ139:INDIRECT(ADDRESS(MAX(CELL("row",HJ139)-intermediates!$B$83,69),CELL("col",HJ139))))/intermediates!$B$83+SUM(HH139:INDIRECT(ADDRESS(MAX(CELL("row",HH139)-intermediates!$B$84,69),CELL("col",HH139))))/intermediates!$B$84+SUM(HI139:INDIRECT(ADDRESS(MAX(CELL("row",HI139)-intermediates!$B$85,69),CELL("col",HI139))))/intermediates!$B$85</f>
        <v>16.596188463892055</v>
      </c>
      <c r="HL139" s="218">
        <f t="shared" ca="1" si="278"/>
        <v>-408.03481334534945</v>
      </c>
      <c r="HM139" s="188">
        <f t="shared" si="253"/>
        <v>2083</v>
      </c>
      <c r="HQ139" s="185">
        <f t="shared" si="254"/>
        <v>888.44942411016211</v>
      </c>
      <c r="HR139" s="185">
        <f t="shared" si="255"/>
        <v>580.29573073790857</v>
      </c>
      <c r="HS139" s="185">
        <f t="shared" si="256"/>
        <v>413.64602156842244</v>
      </c>
      <c r="HT139" s="185">
        <f t="shared" si="257"/>
        <v>372.30190064445151</v>
      </c>
      <c r="HU139" s="185">
        <f t="shared" si="258"/>
        <v>340.32420495397372</v>
      </c>
      <c r="HV139" s="185">
        <f t="shared" si="259"/>
        <v>313.09826855765579</v>
      </c>
      <c r="HW139" s="185">
        <f t="shared" si="260"/>
        <v>607.98165565563795</v>
      </c>
      <c r="HX139" s="185">
        <f t="shared" si="261"/>
        <v>14.134955965547015</v>
      </c>
      <c r="HY139" s="185">
        <f t="shared" si="262"/>
        <v>190.21010646567751</v>
      </c>
      <c r="HZ139" s="185">
        <f t="shared" si="279"/>
        <v>3516.0972062282121</v>
      </c>
      <c r="IA139" s="185">
        <f t="shared" si="280"/>
        <v>3720.4422686594366</v>
      </c>
      <c r="IB139" s="185">
        <f t="shared" si="263"/>
        <v>2613.2301845738384</v>
      </c>
      <c r="IC139" s="185">
        <f t="shared" si="231"/>
        <v>4053.2110377042532</v>
      </c>
      <c r="ID139" s="185">
        <f t="shared" si="264"/>
        <v>3262.6495016784561</v>
      </c>
      <c r="IE139" s="184">
        <f t="shared" si="281"/>
        <v>-0.16462504820077214</v>
      </c>
      <c r="IF139" s="184">
        <f t="shared" si="282"/>
        <v>-0.10199341635490575</v>
      </c>
    </row>
    <row r="140" spans="1:240" x14ac:dyDescent="0.3">
      <c r="A140" s="211">
        <v>2084</v>
      </c>
      <c r="E140" s="207">
        <v>8159225.2829999998</v>
      </c>
      <c r="F140" s="207">
        <v>10736765.444</v>
      </c>
      <c r="G140" s="207">
        <v>13885055.549000001</v>
      </c>
      <c r="I140" s="207">
        <f t="shared" si="284"/>
        <v>8159225283</v>
      </c>
      <c r="J140" s="207">
        <f t="shared" si="284"/>
        <v>10736765444</v>
      </c>
      <c r="K140" s="207">
        <f t="shared" si="284"/>
        <v>13885055549</v>
      </c>
      <c r="L140" s="187">
        <f>IF(intermediates!$B$4&gt;=2,(intermediates!$B$4-2)*K140+(1-(intermediates!$B$4-2))*J140,(intermediates!$B$4-1)*J140+(1-(intermediates!$B$4-1))*I140)</f>
        <v>11899301339.553925</v>
      </c>
      <c r="AJ140" s="184">
        <f>IF(intermediates!$B$46=0,$AJ$74+(intermediates!$B$15-$AJ$74)*MIN(1,(data!A140-data!$A$74)/(intermediates!$B$32-data!$A$74)),IF(A140&lt;2021,$AJ$74+(intermediates!$B$15-$AJ$74)*MIN(1,(data!A140-data!$A$74)/(intermediates!$B$32-data!$A$74)),intermediates!$B$47+(intermediates!$B$15-intermediates!$B$47)*MIN(1,(data!A140-$A$77)/(intermediates!$B$32-$A$77))))</f>
        <v>27400</v>
      </c>
      <c r="AK140" s="192">
        <f t="shared" si="285"/>
        <v>27400</v>
      </c>
      <c r="AL140" s="192">
        <f t="shared" si="234"/>
        <v>326040856703777.56</v>
      </c>
      <c r="AM140" s="192">
        <f>data!AL140/(1000000*conversions!$C$1)</f>
        <v>27946.359146038078</v>
      </c>
      <c r="AN140" s="192">
        <f>IF(intermediates!$B$13=1,($AJ$74+(27400-$AJ$74)*MIN(1,(data!A140-data!$A$74)/(intermediates!$B$32-data!$A$74)))*L140/(1000000*conversions!$C$1),data!AM140)</f>
        <v>27946.359146038078</v>
      </c>
      <c r="AV140" s="214">
        <f>IF(A140&lt;intermediates!$B$29,0,IF(A140&lt;intermediates!$B$31,(data!A140-intermediates!$B$29)*intermediates!$B$26/(intermediates!$B$31-intermediates!$B$29),intermediates!$B$26))</f>
        <v>10</v>
      </c>
      <c r="AW140" s="212">
        <f>MIN(AW139+intermediates!$B$16,intermediates!$B$17*data!$AW$74)</f>
        <v>1897.5897864678325</v>
      </c>
      <c r="AX140" s="212">
        <f>AV140*1000/conversions!$C$16/intermediates!$B$40</f>
        <v>8187.0584968062822</v>
      </c>
      <c r="AY140" s="212">
        <f>AX140*(1-intermediates!$B$39)*intermediates!$B$28/(conversions!$C$2)</f>
        <v>2143.0300372958864</v>
      </c>
      <c r="AZ140" s="213">
        <f>IF(A140&lt;intermediates!$B$29,0,MIN(intermediates!$B$25,intermediates!$B$25*(A140-intermediates!$B$29)/(intermediates!$B$31-intermediates!$B$29)))</f>
        <v>0</v>
      </c>
      <c r="BA140" s="212">
        <f>IF(A140&lt;intermediates!$B$29,data!$BA$74,IF(intermediates!$B$23&gt;data!$BA$74,MIN(intermediates!$B$23,data!$BA$74+(intermediates!$B$23-data!$BA$74)*((data!A140-intermediates!$B$29)/(intermediates!$B$31-intermediates!$B$29))),MAX(intermediates!$B$23,data!$BA$74+(intermediates!$B$23-data!$BA$74)*((data!A140-intermediates!$B$29)/(intermediates!$B$31-intermediates!$B$29)))))</f>
        <v>0.08</v>
      </c>
      <c r="BB140" s="212">
        <f t="shared" si="286"/>
        <v>2235.7087316830462</v>
      </c>
      <c r="BC140" s="212">
        <f t="shared" ref="BC140:BC156" si="303">BB140-BD140</f>
        <v>2235.7087316830462</v>
      </c>
      <c r="BD140" s="212">
        <f t="shared" ref="BD140:BD156" si="304">BB140*AZ140</f>
        <v>0</v>
      </c>
      <c r="BE140" s="214">
        <f>MAX(0,MIN(1,(data!A140-intermediates!$B$29)/(intermediates!$B$31-intermediates!$B$29)))*((intermediates!$B$38*L140)-$BE$69*1000000000)/1000000000+$BE$69</f>
        <v>1487.4126674442405</v>
      </c>
      <c r="BF140" s="214">
        <f t="shared" si="237"/>
        <v>1487.4126674442405</v>
      </c>
      <c r="BG140" s="214">
        <f t="shared" ref="BG140:BG156" si="305">BE140*AZ140</f>
        <v>0</v>
      </c>
      <c r="BH140" s="214">
        <f>BD140*conversions!$C$2/conversions!$C$17+BG140*conversions!$C$6/conversions!$C$10</f>
        <v>0</v>
      </c>
      <c r="BI140" s="214">
        <f>BH140*intermediates!$B$41*conversions!$C$11/(conversions!$C$2*conversions!$C$6*intermediates!$B$42)</f>
        <v>0</v>
      </c>
      <c r="BJ140" s="214">
        <f>BH140*intermediates!$B$43/(conversions!$C$1*intermediates!$B$42)</f>
        <v>0</v>
      </c>
      <c r="BK140" s="214">
        <f t="shared" si="287"/>
        <v>0</v>
      </c>
      <c r="BL140" s="214">
        <f t="shared" si="288"/>
        <v>27946.359146038078</v>
      </c>
      <c r="BM140" s="214">
        <f t="shared" si="289"/>
        <v>21670.030590591312</v>
      </c>
      <c r="BN140" s="214">
        <f>IF(A140&lt;intermediates!$B$29,MIN(BO139+intermediates!$B$33*AN139),MIN(BO139*intermediates!$B$35,BO139+intermediates!$B$37*AN139))</f>
        <v>22402.852916361888</v>
      </c>
      <c r="BO140" s="212">
        <f>IF(A140&lt;intermediates!$B$29,MIN(BM140,BO139+intermediates!$B$33*AN139),MIN(BM140,BO139*intermediates!$B$35,BO139+intermediates!$B$37*AN139))</f>
        <v>21670.030590591312</v>
      </c>
      <c r="BP140" s="214">
        <f t="shared" si="290"/>
        <v>732.82232577057584</v>
      </c>
      <c r="BQ140" s="214">
        <f t="shared" si="291"/>
        <v>0</v>
      </c>
      <c r="BR140" s="212" t="str">
        <f t="shared" si="235"/>
        <v/>
      </c>
      <c r="BS140" s="212">
        <f>BP140*conversions!$C$1*intermediates!$B$42/intermediates!$B$43</f>
        <v>1635.5689214412648</v>
      </c>
      <c r="BT140" s="214">
        <f>MIN(BT139+BS140,intermediates!$B$27*1000)</f>
        <v>0</v>
      </c>
      <c r="BU140" s="219" t="str">
        <f>IF(AND(BT140=intermediates!$B$27*1000,BT139&lt;&gt;intermediates!$B$27*1000),A140,"")</f>
        <v/>
      </c>
      <c r="BV140" s="212">
        <f>BT140*intermediates!$B$43/(conversions!$C$1*intermediates!$B$42)</f>
        <v>0</v>
      </c>
      <c r="BW140" s="214">
        <f t="shared" si="292"/>
        <v>27946.359146038078</v>
      </c>
      <c r="BX140" s="214">
        <f t="shared" si="293"/>
        <v>21670.030590591312</v>
      </c>
      <c r="BY140" s="227">
        <f>IF(OR(BQ140&gt;0,BT140&lt;&gt;intermediates!$B$27*1000),MAX(0,(BX140-BX139)/AM139),0.000000000001)</f>
        <v>9.9999999999999998E-13</v>
      </c>
      <c r="BZ140" s="322">
        <f>BH140*intermediates!$B$49*1000000</f>
        <v>0</v>
      </c>
      <c r="CA140" s="322">
        <f>BI140*conversions!$C$1*1000000*intermediates!$B$50</f>
        <v>0</v>
      </c>
      <c r="CB140" s="322">
        <f>BT140*1000000*intermediates!$B$49</f>
        <v>0</v>
      </c>
      <c r="CC140" s="214">
        <f>BW140*conversions!$C$1*1000000/L140</f>
        <v>27400.000000000004</v>
      </c>
      <c r="CD140" s="173">
        <f t="shared" si="239"/>
        <v>2084</v>
      </c>
      <c r="CE140" s="173"/>
      <c r="CF140" s="173"/>
      <c r="CG140" s="173"/>
      <c r="CH140" s="173"/>
      <c r="CI140" s="173">
        <f t="shared" si="294"/>
        <v>0</v>
      </c>
      <c r="CJ140" s="173">
        <f t="shared" si="295"/>
        <v>1897.5897864678325</v>
      </c>
      <c r="CK140" s="173">
        <f t="shared" si="296"/>
        <v>2235.7087316830462</v>
      </c>
      <c r="CL140" s="173">
        <f t="shared" si="297"/>
        <v>2143.0300372958864</v>
      </c>
      <c r="CM140" s="173"/>
      <c r="CN140" s="173"/>
      <c r="CO140" s="329">
        <f t="shared" ref="CO140:CO155" si="306">BX140</f>
        <v>21670.030590591312</v>
      </c>
      <c r="CP140" s="174">
        <f t="shared" si="298"/>
        <v>0</v>
      </c>
      <c r="CQ140" s="228">
        <f t="shared" si="299"/>
        <v>10</v>
      </c>
      <c r="CR140" s="228">
        <f t="shared" ref="CR140:CR155" si="307">CR139+CQ140</f>
        <v>485</v>
      </c>
      <c r="CS140" s="214">
        <f t="shared" ca="1" si="300"/>
        <v>-26.905835931021389</v>
      </c>
      <c r="CT140" s="190">
        <f t="shared" ca="1" si="301"/>
        <v>-2.2611273690149294</v>
      </c>
      <c r="CU140" s="190">
        <f t="shared" ca="1" si="236"/>
        <v>-26.905835931021389</v>
      </c>
      <c r="CV140" s="198">
        <f t="shared" ref="CV140:CV155" si="308">CV139+CP140</f>
        <v>3203.9310777670239</v>
      </c>
      <c r="CW140" s="198">
        <f t="shared" ref="CW140:CW156" ca="1" si="309">CW139+CP140+IF(HK140&lt;0,-HK140,0)</f>
        <v>3796.8898451957907</v>
      </c>
      <c r="CX140" s="198">
        <f t="shared" ca="1" si="302"/>
        <v>3110.0600551813545</v>
      </c>
      <c r="CY140" s="198">
        <f t="shared" ref="CY140:CY156" ca="1" si="310">CY139+IF(HK140&gt;0,-HK140,0)-CQ140</f>
        <v>-686.82979001443653</v>
      </c>
      <c r="CZ140" s="199">
        <f ca="1">IF(CX140&lt;intermediates!$B$55,intermediates!$B$56+(CX140-intermediates!$B$55)*intermediates!$B$53,intermediates!$B$56+(data!CX140-intermediates!$B$55)*intermediates!$B$58)</f>
        <v>1.6603414739350271</v>
      </c>
      <c r="DG140" s="201">
        <f>IF(A140&gt;MAX(intermediates!B$31,intermediates!$B$32),DG139,DG139+intermediates!$B$60*DG$73)</f>
        <v>19505207416250</v>
      </c>
      <c r="DH140" s="201">
        <f>IF(A140&gt;MAX(intermediates!B$31,intermediates!$B$32),DH139,DH139+intermediates!$B$61*DH$73)</f>
        <v>28534082329375</v>
      </c>
      <c r="DI140" s="201">
        <f>IF(A140&gt;MAX(intermediates!B$31,intermediates!$B$32),DI139,DI139+intermediates!$B$62*DI$73)</f>
        <v>38669431049000</v>
      </c>
      <c r="DJ140" s="221"/>
      <c r="EE140" s="218"/>
      <c r="EF140" s="212">
        <f>$EF$69+intermediates!$B$90*(A140-2013)*intermediates!$B$92+intermediates!$B$91*intermediates!$B$92*(A140-2013)^2</f>
        <v>3149.5808785492186</v>
      </c>
      <c r="EH140" s="212">
        <f>IF(A140&lt;intermediates!$B$29,data!EH139,IF(A140&lt;intermediates!$B$31,data!$EH$69+(intermediates!$B$93-data!$EH$69)*(data!A140-intermediates!$B$29)/(intermediates!$B$31-intermediates!$B$29),intermediates!$B$93))</f>
        <v>2.522212345090466E-2</v>
      </c>
      <c r="EI140" s="212">
        <f t="shared" si="265"/>
        <v>2.522212345090466E-2</v>
      </c>
      <c r="EN140" s="218"/>
      <c r="EO140" s="212">
        <f t="shared" si="266"/>
        <v>3070.1417608118413</v>
      </c>
      <c r="EQ140" s="212">
        <f t="shared" si="267"/>
        <v>79.439117737377273</v>
      </c>
      <c r="ET140" s="214">
        <f>IF(A140&lt;intermediates!$B$29,ET139+intermediates!$B$63,ET139+intermediates!$B$63*intermediates!$B$67)</f>
        <v>1494.0184095266682</v>
      </c>
      <c r="EU140" s="215">
        <f t="shared" si="268"/>
        <v>1494.0184095266682</v>
      </c>
      <c r="EV140" s="216">
        <f>data!EU140*conversions!$C$13</f>
        <v>1.7375434102795151</v>
      </c>
      <c r="EX140" s="212">
        <f>intermediates!$B$64+intermediates!$B$64*(EXP(-(data!A140-intermediates!$B$66)/intermediates!$B$65)-1)</f>
        <v>5.7956358810348774E-3</v>
      </c>
      <c r="EY140" s="217">
        <f>IF(A140&lt;intermediates!$B$29,data!EX140,data!EY139+(data!EX140-data!EX139)*intermediates!$B$68)</f>
        <v>5.7956358810348774E-3</v>
      </c>
      <c r="EZ140" s="217">
        <f t="shared" si="269"/>
        <v>5.7956358810348774E-3</v>
      </c>
      <c r="FB140" s="212">
        <f>intermediates!$B$94+intermediates!$B$95+(intermediates!$B$95*(EXP(-(data!A140-intermediates!$B$97)/intermediates!$B$96)-1))</f>
        <v>1.549452517444611</v>
      </c>
      <c r="FC140" s="217">
        <f>IF(A140&lt;intermediates!$B$29,data!FB140,data!FC139+(data!FB140-data!FB139)*intermediates!$B$68)</f>
        <v>1.549452517444611</v>
      </c>
      <c r="FD140" s="212">
        <f t="shared" si="270"/>
        <v>1.549452517444611</v>
      </c>
      <c r="FF140" s="184">
        <f>intermediates!$B$98+intermediates!$B$99*EXP(-(A140-intermediates!$B$101)/intermediates!$B$100)</f>
        <v>0.89980147193088367</v>
      </c>
      <c r="FG140" s="184">
        <f t="shared" si="240"/>
        <v>0.89980147193088367</v>
      </c>
      <c r="FI140" s="184">
        <f>intermediates!$B$102+intermediates!$B$103*EXP(-(A140-intermediates!$B$105)/intermediates!$B$104)</f>
        <v>1.4628148969312482E-2</v>
      </c>
      <c r="FJ140" s="184">
        <f t="shared" si="271"/>
        <v>1.4628148969312482E-2</v>
      </c>
      <c r="FL140" s="184">
        <f>intermediates!$B$106</f>
        <v>4.5616870531049965E-2</v>
      </c>
      <c r="FM140" s="184">
        <f t="shared" si="272"/>
        <v>4.5616870531049965E-2</v>
      </c>
      <c r="FN140" s="218">
        <f>IF(A140&lt;intermediates!$B$29,0,IF(A140&lt;intermediates!$B$31,(data!A140-intermediates!$B$29)/(intermediates!$B$31-intermediates!$B$29),1))</f>
        <v>1</v>
      </c>
      <c r="FO140" s="218">
        <f t="shared" si="232"/>
        <v>345023550038454.69</v>
      </c>
      <c r="FP140" s="218">
        <f t="shared" si="177"/>
        <v>383444082724235.56</v>
      </c>
      <c r="FQ140" s="218">
        <f t="shared" si="178"/>
        <v>2222302284207.0854</v>
      </c>
      <c r="FR140" s="218">
        <f t="shared" si="179"/>
        <v>594128399276306.5</v>
      </c>
      <c r="FS140" s="218">
        <f t="shared" si="180"/>
        <v>397671404507.34943</v>
      </c>
      <c r="FT140" s="218">
        <f>intermediates!$B$69*data!EU140/intermediates!$B$71</f>
        <v>3.8027755346176728</v>
      </c>
      <c r="FU140" s="218">
        <f>BC140*conversions!$C$1*1000000</f>
        <v>26083268536302.207</v>
      </c>
      <c r="FV140" s="218">
        <f t="shared" si="184"/>
        <v>6859008189902.166</v>
      </c>
      <c r="FX140" s="221"/>
      <c r="FY140" s="221"/>
      <c r="FZ140" s="221"/>
      <c r="GA140" s="218">
        <f t="shared" si="241"/>
        <v>1487.4126674442405</v>
      </c>
      <c r="GB140" s="218">
        <f>GA140*1000000*10000*intermediates!$B$71/(intermediates!$B$72*data!EU140)</f>
        <v>4889233712008.2725</v>
      </c>
      <c r="GC140" s="218">
        <f t="shared" si="233"/>
        <v>8925176378648.0898</v>
      </c>
      <c r="GD140" s="218">
        <f t="shared" si="283"/>
        <v>21071089685065.875</v>
      </c>
      <c r="GE140" s="218">
        <f t="shared" si="182"/>
        <v>22421897326751.121</v>
      </c>
      <c r="GF140" s="218">
        <f t="shared" si="183"/>
        <v>327990854270.34473</v>
      </c>
      <c r="GG140" s="218">
        <f t="shared" si="273"/>
        <v>1022816787414.9012</v>
      </c>
      <c r="GH140" s="218">
        <f t="shared" si="242"/>
        <v>9156112990833.3203</v>
      </c>
      <c r="GI140" s="218">
        <f t="shared" si="274"/>
        <v>166734792322.11914</v>
      </c>
      <c r="GJ140" s="218">
        <f>ET140*intermediates!$B$73/intermediates!$B$71</f>
        <v>5.704163301926509</v>
      </c>
      <c r="GK140" s="218">
        <f>CL140*conversions!$C$1*1000000/data!GJ140</f>
        <v>4383117344018.0483</v>
      </c>
      <c r="GL140" s="218">
        <f>MIN(1,FN140)*(intermediates!$B$75-data!$GL$69)+data!$GL$69</f>
        <v>1</v>
      </c>
      <c r="GM140" s="218">
        <f>GL140*intermediates!$B$74*(FS140+GC140+GK140+GG140+GF140+GB140+FV140)</f>
        <v>4020752200615.3755</v>
      </c>
      <c r="GN140" s="218">
        <f>MIN(1,FN140)*intermediates!$B$76</f>
        <v>0.12</v>
      </c>
      <c r="GO140" s="218">
        <f t="shared" si="275"/>
        <v>3699092024566.145</v>
      </c>
      <c r="GP140" s="218">
        <f>IF(A140&gt;intermediates!$B$29,MIN(1,(A140-intermediates!$B$29)/(intermediates!$B$31-intermediates!$B$29))*intermediates!$B$77,0)</f>
        <v>0.15</v>
      </c>
      <c r="GQ140" s="218">
        <f>IF(AND(A140&gt;intermediates!$B$29+intermediates!$B$30,data!GP140&lt;intermediates!$B$77),1,0)</f>
        <v>0</v>
      </c>
      <c r="GR140" s="218">
        <f t="shared" si="243"/>
        <v>7205893461843.75</v>
      </c>
      <c r="GS140" s="218">
        <f t="shared" si="244"/>
        <v>43953054642001.531</v>
      </c>
      <c r="GT140" s="218">
        <f t="shared" si="238"/>
        <v>86708720794625</v>
      </c>
      <c r="GU140" s="218">
        <f t="shared" si="245"/>
        <v>45875324510843.75</v>
      </c>
      <c r="GV140" s="218">
        <f t="shared" si="246"/>
        <v>30825766871384.547</v>
      </c>
      <c r="GW140" s="218">
        <f t="shared" si="247"/>
        <v>4086235103623.4688</v>
      </c>
      <c r="GX140" s="218">
        <f>MIN(intermediates!$B$88,FN140*intermediates!$B$87*GO140)</f>
        <v>1849546012283.0725</v>
      </c>
      <c r="GY140" s="218">
        <f t="shared" si="248"/>
        <v>1849546012283.0725</v>
      </c>
      <c r="GZ140" s="218">
        <f>MIN(intermediates!$B$88-GX140,intermediates!$B$87*data!GW140*FN140)</f>
        <v>2043117551811.7344</v>
      </c>
      <c r="HA140" s="218">
        <f t="shared" si="276"/>
        <v>2043117551811.7344</v>
      </c>
      <c r="HB140" s="218">
        <f t="shared" si="277"/>
        <v>3892663564094.8066</v>
      </c>
      <c r="HC140" s="218">
        <f t="shared" si="249"/>
        <v>6114965848301.8926</v>
      </c>
      <c r="HD140" s="218">
        <f>HC140*intermediates!$B$79/(10000*1000000000)</f>
        <v>405.87599329534487</v>
      </c>
      <c r="HE140" s="218">
        <f>(GV140*intermediates!$B$80+GV140*GL140*intermediates!$B$82)/(10000*1000000000)</f>
        <v>1149.2815176475201</v>
      </c>
      <c r="HF140" s="218">
        <f>GU140*intermediates!$B$78/(10000*1000000000)</f>
        <v>4619.6154707550731</v>
      </c>
      <c r="HG140" s="218">
        <f>HB140*intermediates!$B$81/(10000*1000000000)</f>
        <v>978.47357362256037</v>
      </c>
      <c r="HH140" s="218">
        <f t="shared" si="250"/>
        <v>0</v>
      </c>
      <c r="HI140" s="218">
        <f t="shared" si="251"/>
        <v>16.390183669174007</v>
      </c>
      <c r="HJ140" s="218">
        <f t="shared" si="252"/>
        <v>-1.467918366491233</v>
      </c>
      <c r="HK140" s="218">
        <f ca="1">SUM(HJ140:INDIRECT(ADDRESS(MAX(CELL("row",HJ140)-intermediates!$B$83,69),CELL("col",HJ140))))/intermediates!$B$83+SUM(HH140:INDIRECT(ADDRESS(MAX(CELL("row",HH140)-intermediates!$B$84,69),CELL("col",HH140))))/intermediates!$B$84+SUM(HI140:INDIRECT(ADDRESS(MAX(CELL("row",HI140)-intermediates!$B$85,69),CELL("col",HI140))))/intermediates!$B$85</f>
        <v>16.905835931021389</v>
      </c>
      <c r="HL140" s="218">
        <f t="shared" ca="1" si="278"/>
        <v>-391.12897741432806</v>
      </c>
      <c r="HM140" s="188">
        <f t="shared" si="253"/>
        <v>2084</v>
      </c>
      <c r="HQ140" s="185">
        <f t="shared" si="254"/>
        <v>882.98634791212396</v>
      </c>
      <c r="HR140" s="185">
        <f t="shared" si="255"/>
        <v>576.42108508526042</v>
      </c>
      <c r="HS140" s="185">
        <f t="shared" si="256"/>
        <v>410.88409919968944</v>
      </c>
      <c r="HT140" s="185">
        <f t="shared" si="257"/>
        <v>368.35081480358247</v>
      </c>
      <c r="HU140" s="185">
        <f t="shared" si="258"/>
        <v>337.89817451300075</v>
      </c>
      <c r="HV140" s="185">
        <f t="shared" si="259"/>
        <v>310.86632055196065</v>
      </c>
      <c r="HW140" s="185">
        <f t="shared" si="260"/>
        <v>605.57281946385945</v>
      </c>
      <c r="HX140" s="185">
        <f t="shared" si="261"/>
        <v>14.012149752682003</v>
      </c>
      <c r="HY140" s="185">
        <f t="shared" si="262"/>
        <v>186.75905591364696</v>
      </c>
      <c r="HZ140" s="185">
        <f t="shared" si="279"/>
        <v>3492.9796615294772</v>
      </c>
      <c r="IA140" s="185">
        <f t="shared" si="280"/>
        <v>3693.7508671958062</v>
      </c>
      <c r="IB140" s="185">
        <f t="shared" si="263"/>
        <v>2613.2301845738384</v>
      </c>
      <c r="IC140" s="185">
        <f t="shared" si="231"/>
        <v>4037.152129759063</v>
      </c>
      <c r="ID140" s="185">
        <f t="shared" si="264"/>
        <v>3249.722815276617</v>
      </c>
      <c r="IE140" s="184">
        <f t="shared" si="281"/>
        <v>-0.16745196410951921</v>
      </c>
      <c r="IF140" s="184">
        <f t="shared" si="282"/>
        <v>-0.10567093936410893</v>
      </c>
    </row>
    <row r="141" spans="1:240" x14ac:dyDescent="0.3">
      <c r="A141" s="184">
        <v>2085</v>
      </c>
      <c r="E141" s="207">
        <v>8113441.4069999997</v>
      </c>
      <c r="F141" s="207">
        <v>10750662.353</v>
      </c>
      <c r="G141" s="207">
        <v>13988513.727</v>
      </c>
      <c r="I141" s="207">
        <f t="shared" si="284"/>
        <v>8113441407</v>
      </c>
      <c r="J141" s="207">
        <f t="shared" si="284"/>
        <v>10750662353</v>
      </c>
      <c r="K141" s="207">
        <f t="shared" si="284"/>
        <v>13988513727</v>
      </c>
      <c r="L141" s="187">
        <f>IF(intermediates!$B$4&gt;=2,(intermediates!$B$4-2)*K141+(1-(intermediates!$B$4-2))*J141,(intermediates!$B$4-1)*J141+(1-(intermediates!$B$4-1))*I141)</f>
        <v>11946269594.13879</v>
      </c>
      <c r="AJ141" s="184">
        <f>IF(intermediates!$B$46=0,$AJ$74+(intermediates!$B$15-$AJ$74)*MIN(1,(data!A141-data!$A$74)/(intermediates!$B$32-data!$A$74)),IF(A141&lt;2021,$AJ$74+(intermediates!$B$15-$AJ$74)*MIN(1,(data!A141-data!$A$74)/(intermediates!$B$32-data!$A$74)),intermediates!$B$47+(intermediates!$B$15-intermediates!$B$47)*MIN(1,(data!A141-$A$77)/(intermediates!$B$32-$A$77))))</f>
        <v>27400</v>
      </c>
      <c r="AK141" s="192">
        <f t="shared" si="285"/>
        <v>27400</v>
      </c>
      <c r="AL141" s="192">
        <f t="shared" si="234"/>
        <v>327327786879402.88</v>
      </c>
      <c r="AM141" s="192">
        <f>data!AL141/(1000000*conversions!$C$1)</f>
        <v>28056.667446805961</v>
      </c>
      <c r="AN141" s="192">
        <f>IF(intermediates!$B$13=1,($AJ$74+(27400-$AJ$74)*MIN(1,(data!A141-data!$A$74)/(intermediates!$B$32-data!$A$74)))*L141/(1000000*conversions!$C$1),data!AM141)</f>
        <v>28056.667446805961</v>
      </c>
      <c r="AV141" s="214">
        <f>IF(A141&lt;intermediates!$B$29,0,IF(A141&lt;intermediates!$B$31,(data!A141-intermediates!$B$29)*intermediates!$B$26/(intermediates!$B$31-intermediates!$B$29),intermediates!$B$26))</f>
        <v>10</v>
      </c>
      <c r="AW141" s="212">
        <f>MIN(AW140+intermediates!$B$16,intermediates!$B$17*data!$AW$74)</f>
        <v>1897.5897864678325</v>
      </c>
      <c r="AX141" s="212">
        <f>AV141*1000/conversions!$C$16/intermediates!$B$40</f>
        <v>8187.0584968062822</v>
      </c>
      <c r="AY141" s="212">
        <f>AX141*(1-intermediates!$B$39)*intermediates!$B$28/(conversions!$C$2)</f>
        <v>2143.0300372958864</v>
      </c>
      <c r="AZ141" s="213">
        <f>IF(A141&lt;intermediates!$B$29,0,MIN(intermediates!$B$25,intermediates!$B$25*(A141-intermediates!$B$29)/(intermediates!$B$31-intermediates!$B$29)))</f>
        <v>0</v>
      </c>
      <c r="BA141" s="212">
        <f>IF(A141&lt;intermediates!$B$29,data!$BA$74,IF(intermediates!$B$23&gt;data!$BA$74,MIN(intermediates!$B$23,data!$BA$74+(intermediates!$B$23-data!$BA$74)*((data!A141-intermediates!$B$29)/(intermediates!$B$31-intermediates!$B$29))),MAX(intermediates!$B$23,data!$BA$74+(intermediates!$B$23-data!$BA$74)*((data!A141-intermediates!$B$29)/(intermediates!$B$31-intermediates!$B$29)))))</f>
        <v>0.08</v>
      </c>
      <c r="BB141" s="212">
        <f t="shared" si="286"/>
        <v>2244.5333957444768</v>
      </c>
      <c r="BC141" s="212">
        <f t="shared" si="303"/>
        <v>2244.5333957444768</v>
      </c>
      <c r="BD141" s="212">
        <f t="shared" si="304"/>
        <v>0</v>
      </c>
      <c r="BE141" s="214">
        <f>MAX(0,MIN(1,(data!A141-intermediates!$B$29)/(intermediates!$B$31-intermediates!$B$29)))*((intermediates!$B$38*L141)-$BE$69*1000000000)/1000000000+$BE$69</f>
        <v>1493.2836992673488</v>
      </c>
      <c r="BF141" s="214">
        <f t="shared" si="237"/>
        <v>1493.2836992673488</v>
      </c>
      <c r="BG141" s="214">
        <f t="shared" si="305"/>
        <v>0</v>
      </c>
      <c r="BH141" s="214">
        <f>BD141*conversions!$C$2/conversions!$C$17+BG141*conversions!$C$6/conversions!$C$10</f>
        <v>0</v>
      </c>
      <c r="BI141" s="214">
        <f>BH141*intermediates!$B$41*conversions!$C$11/(conversions!$C$2*conversions!$C$6*intermediates!$B$42)</f>
        <v>0</v>
      </c>
      <c r="BJ141" s="214">
        <f>BH141*intermediates!$B$43/(conversions!$C$1*intermediates!$B$42)</f>
        <v>0</v>
      </c>
      <c r="BK141" s="214">
        <f t="shared" si="287"/>
        <v>0</v>
      </c>
      <c r="BL141" s="214">
        <f t="shared" si="288"/>
        <v>28056.667446805961</v>
      </c>
      <c r="BM141" s="214">
        <f t="shared" si="289"/>
        <v>21771.514227297765</v>
      </c>
      <c r="BN141" s="214">
        <f>IF(A141&lt;intermediates!$B$29,MIN(BO140+intermediates!$B$33*AN140),MIN(BO140*intermediates!$B$35,BO140+intermediates!$B$37*AN140))</f>
        <v>22508.039265757685</v>
      </c>
      <c r="BO141" s="212">
        <f>IF(A141&lt;intermediates!$B$29,MIN(BM141,BO140+intermediates!$B$33*AN140),MIN(BM141,BO140*intermediates!$B$35,BO140+intermediates!$B$37*AN140))</f>
        <v>21771.514227297765</v>
      </c>
      <c r="BP141" s="214">
        <f t="shared" si="290"/>
        <v>736.52503845992032</v>
      </c>
      <c r="BQ141" s="214">
        <f t="shared" si="291"/>
        <v>0</v>
      </c>
      <c r="BR141" s="212" t="str">
        <f t="shared" si="235"/>
        <v/>
      </c>
      <c r="BS141" s="212">
        <f>BP141*conversions!$C$1*intermediates!$B$42/intermediates!$B$43</f>
        <v>1643.8329188479349</v>
      </c>
      <c r="BT141" s="214">
        <f>MIN(BT140+BS141,intermediates!$B$27*1000)</f>
        <v>0</v>
      </c>
      <c r="BU141" s="219" t="str">
        <f>IF(AND(BT141=intermediates!$B$27*1000,BT140&lt;&gt;intermediates!$B$27*1000),A141,"")</f>
        <v/>
      </c>
      <c r="BV141" s="212">
        <f>BT141*intermediates!$B$43/(conversions!$C$1*intermediates!$B$42)</f>
        <v>0</v>
      </c>
      <c r="BW141" s="214">
        <f t="shared" si="292"/>
        <v>28056.667446805961</v>
      </c>
      <c r="BX141" s="214">
        <f t="shared" si="293"/>
        <v>21771.514227297765</v>
      </c>
      <c r="BY141" s="227">
        <f>IF(OR(BQ141&gt;0,BT141&lt;&gt;intermediates!$B$27*1000),MAX(0,(BX141-BX140)/AM140),0.000000000001)</f>
        <v>9.9999999999999998E-13</v>
      </c>
      <c r="BZ141" s="322">
        <f>BH141*intermediates!$B$49*1000000</f>
        <v>0</v>
      </c>
      <c r="CA141" s="322">
        <f>BI141*conversions!$C$1*1000000*intermediates!$B$50</f>
        <v>0</v>
      </c>
      <c r="CB141" s="322">
        <f>BT141*1000000*intermediates!$B$49</f>
        <v>0</v>
      </c>
      <c r="CC141" s="214">
        <f>BW141*conversions!$C$1*1000000/L141</f>
        <v>27400.000000000004</v>
      </c>
      <c r="CD141" s="173">
        <f t="shared" si="239"/>
        <v>2085</v>
      </c>
      <c r="CE141" s="173"/>
      <c r="CF141" s="173"/>
      <c r="CG141" s="173"/>
      <c r="CH141" s="173"/>
      <c r="CI141" s="173">
        <f t="shared" si="294"/>
        <v>0</v>
      </c>
      <c r="CJ141" s="173">
        <f t="shared" si="295"/>
        <v>1897.5897864678325</v>
      </c>
      <c r="CK141" s="173">
        <f t="shared" si="296"/>
        <v>2244.5333957444768</v>
      </c>
      <c r="CL141" s="173">
        <f t="shared" si="297"/>
        <v>2143.0300372958864</v>
      </c>
      <c r="CM141" s="173"/>
      <c r="CN141" s="173"/>
      <c r="CO141" s="329">
        <f t="shared" si="306"/>
        <v>21771.514227297765</v>
      </c>
      <c r="CP141" s="174">
        <f t="shared" si="298"/>
        <v>0</v>
      </c>
      <c r="CQ141" s="228">
        <f t="shared" si="299"/>
        <v>10</v>
      </c>
      <c r="CR141" s="228">
        <f t="shared" si="307"/>
        <v>495</v>
      </c>
      <c r="CS141" s="214">
        <f t="shared" ca="1" si="300"/>
        <v>-27.214257394480846</v>
      </c>
      <c r="CT141" s="190">
        <f t="shared" ca="1" si="301"/>
        <v>-2.2780548505144238</v>
      </c>
      <c r="CU141" s="190">
        <f t="shared" ca="1" si="236"/>
        <v>-27.214257394480846</v>
      </c>
      <c r="CV141" s="198">
        <f t="shared" si="308"/>
        <v>3203.9310777670239</v>
      </c>
      <c r="CW141" s="198">
        <f t="shared" ca="1" si="309"/>
        <v>3796.8898451957907</v>
      </c>
      <c r="CX141" s="198">
        <f t="shared" ca="1" si="302"/>
        <v>3082.8457977868738</v>
      </c>
      <c r="CY141" s="198">
        <f t="shared" ca="1" si="310"/>
        <v>-714.04404740891732</v>
      </c>
      <c r="CZ141" s="199">
        <f ca="1">IF(CX141&lt;intermediates!$B$55,intermediates!$B$56+(CX141-intermediates!$B$55)*intermediates!$B$53,intermediates!$B$56+(data!CX141-intermediates!$B$55)*intermediates!$B$58)</f>
        <v>1.6455423689906015</v>
      </c>
      <c r="DG141" s="201">
        <f>IF(A141&gt;MAX(intermediates!B$31,intermediates!$B$32),DG140,DG140+intermediates!$B$60*DG$73)</f>
        <v>19505207416250</v>
      </c>
      <c r="DH141" s="201">
        <f>IF(A141&gt;MAX(intermediates!B$31,intermediates!$B$32),DH140,DH140+intermediates!$B$61*DH$73)</f>
        <v>28534082329375</v>
      </c>
      <c r="DI141" s="201">
        <f>IF(A141&gt;MAX(intermediates!B$31,intermediates!$B$32),DI140,DI140+intermediates!$B$62*DI$73)</f>
        <v>38669431049000</v>
      </c>
      <c r="DJ141" s="221"/>
      <c r="EE141" s="218"/>
      <c r="EF141" s="212">
        <f>$EF$69+intermediates!$B$90*(A141-2013)*intermediates!$B$92+intermediates!$B$91*intermediates!$B$92*(A141-2013)^2</f>
        <v>3151.7319685492184</v>
      </c>
      <c r="EH141" s="212">
        <f>IF(A141&lt;intermediates!$B$29,data!EH140,IF(A141&lt;intermediates!$B$31,data!$EH$69+(intermediates!$B$93-data!$EH$69)*(data!A141-intermediates!$B$29)/(intermediates!$B$31-intermediates!$B$29),intermediates!$B$93))</f>
        <v>2.522212345090466E-2</v>
      </c>
      <c r="EI141" s="212">
        <f t="shared" si="265"/>
        <v>2.522212345090466E-2</v>
      </c>
      <c r="EN141" s="218"/>
      <c r="EO141" s="212">
        <f t="shared" si="266"/>
        <v>3072.2385957543074</v>
      </c>
      <c r="EQ141" s="212">
        <f t="shared" si="267"/>
        <v>79.493372794911011</v>
      </c>
      <c r="ET141" s="214">
        <f>IF(A141&lt;intermediates!$B$29,ET140+intermediates!$B$63,ET140+intermediates!$B$63*intermediates!$B$67)</f>
        <v>1503.9939989181109</v>
      </c>
      <c r="EU141" s="215">
        <f t="shared" si="268"/>
        <v>1503.9939989181109</v>
      </c>
      <c r="EV141" s="216">
        <f>data!EU141*conversions!$C$13</f>
        <v>1.7491450207417629</v>
      </c>
      <c r="EX141" s="212">
        <f>intermediates!$B$64+intermediates!$B$64*(EXP(-(data!A141-intermediates!$B$66)/intermediates!$B$65)-1)</f>
        <v>5.6878921904356117E-3</v>
      </c>
      <c r="EY141" s="217">
        <f>IF(A141&lt;intermediates!$B$29,data!EX141,data!EY140+(data!EX141-data!EX140)*intermediates!$B$68)</f>
        <v>5.6878921904356117E-3</v>
      </c>
      <c r="EZ141" s="217">
        <f t="shared" si="269"/>
        <v>5.6878921904356117E-3</v>
      </c>
      <c r="FB141" s="212">
        <f>intermediates!$B$94+intermediates!$B$95+(intermediates!$B$95*(EXP(-(data!A141-intermediates!$B$97)/intermediates!$B$96)-1))</f>
        <v>1.5481039246198494</v>
      </c>
      <c r="FC141" s="217">
        <f>IF(A141&lt;intermediates!$B$29,data!FB141,data!FC140+(data!FB141-data!FB140)*intermediates!$B$68)</f>
        <v>1.5481039246198494</v>
      </c>
      <c r="FD141" s="212">
        <f t="shared" si="270"/>
        <v>1.5481039246198494</v>
      </c>
      <c r="FF141" s="184">
        <f>intermediates!$B$98+intermediates!$B$99*EXP(-(A141-intermediates!$B$101)/intermediates!$B$100)</f>
        <v>0.90002462337823042</v>
      </c>
      <c r="FG141" s="184">
        <f t="shared" si="240"/>
        <v>0.90002462337823042</v>
      </c>
      <c r="FI141" s="184">
        <f>intermediates!$B$102+intermediates!$B$103*EXP(-(A141-intermediates!$B$105)/intermediates!$B$104)</f>
        <v>1.45749867913385E-2</v>
      </c>
      <c r="FJ141" s="184">
        <f t="shared" si="271"/>
        <v>1.45749867913385E-2</v>
      </c>
      <c r="FL141" s="184">
        <f>intermediates!$B$106</f>
        <v>4.5616870531049965E-2</v>
      </c>
      <c r="FM141" s="184">
        <f t="shared" si="272"/>
        <v>4.5616870531049965E-2</v>
      </c>
      <c r="FN141" s="218">
        <f>IF(A141&lt;intermediates!$B$29,0,IF(A141&lt;intermediates!$B$31,(data!A141-intermediates!$B$29)/(intermediates!$B$31-intermediates!$B$29),1))</f>
        <v>1</v>
      </c>
      <c r="FO141" s="218">
        <f t="shared" si="232"/>
        <v>346621980759715.56</v>
      </c>
      <c r="FP141" s="218">
        <f t="shared" si="177"/>
        <v>385124997423597.81</v>
      </c>
      <c r="FQ141" s="218">
        <f t="shared" si="178"/>
        <v>2190549465187.217</v>
      </c>
      <c r="FR141" s="218">
        <f t="shared" si="179"/>
        <v>596213519980681.13</v>
      </c>
      <c r="FS141" s="218">
        <f t="shared" si="180"/>
        <v>396420145565.4502</v>
      </c>
      <c r="FT141" s="218">
        <f>intermediates!$B$69*data!EU141/intermediates!$B$71</f>
        <v>3.8281667393305976</v>
      </c>
      <c r="FU141" s="218">
        <f>BC141*conversions!$C$1*1000000</f>
        <v>26186222950352.23</v>
      </c>
      <c r="FV141" s="218">
        <f t="shared" si="184"/>
        <v>6840408146624.0459</v>
      </c>
      <c r="FX141" s="221"/>
      <c r="FY141" s="221"/>
      <c r="FZ141" s="221"/>
      <c r="GA141" s="218">
        <f t="shared" si="241"/>
        <v>1493.2836992673488</v>
      </c>
      <c r="GB141" s="218">
        <f>GA141*1000000*10000*intermediates!$B$71/(intermediates!$B$72*data!EU141)</f>
        <v>4875975241377.7695</v>
      </c>
      <c r="GC141" s="218">
        <f t="shared" si="233"/>
        <v>8907052521693.7031</v>
      </c>
      <c r="GD141" s="218">
        <f t="shared" si="283"/>
        <v>21019856055260.969</v>
      </c>
      <c r="GE141" s="218">
        <f t="shared" si="182"/>
        <v>22366113997877.488</v>
      </c>
      <c r="GF141" s="218">
        <f t="shared" si="183"/>
        <v>325985816092.6355</v>
      </c>
      <c r="GG141" s="218">
        <f t="shared" si="273"/>
        <v>1020272126523.8817</v>
      </c>
      <c r="GH141" s="218">
        <f t="shared" si="242"/>
        <v>9137520183804.7598</v>
      </c>
      <c r="GI141" s="218">
        <f t="shared" si="274"/>
        <v>165952483454.39258</v>
      </c>
      <c r="GJ141" s="218">
        <f>ET141*intermediates!$B$73/intermediates!$B$71</f>
        <v>5.7422501089958962</v>
      </c>
      <c r="GK141" s="218">
        <f>CL141*conversions!$C$1*1000000/data!GJ141</f>
        <v>4354045300572.4707</v>
      </c>
      <c r="GL141" s="218">
        <f>MIN(1,FN141)*(intermediates!$B$75-data!$GL$69)+data!$GL$69</f>
        <v>1</v>
      </c>
      <c r="GM141" s="218">
        <f>GL141*intermediates!$B$74*(FS141+GC141+GK141+GG141+GF141+GB141+FV141)</f>
        <v>4008023894767.4927</v>
      </c>
      <c r="GN141" s="218">
        <f>MIN(1,FN141)*intermediates!$B$76</f>
        <v>0.12</v>
      </c>
      <c r="GO141" s="218">
        <f t="shared" si="275"/>
        <v>3687381983186.0933</v>
      </c>
      <c r="GP141" s="218">
        <f>IF(A141&gt;intermediates!$B$29,MIN(1,(A141-intermediates!$B$29)/(intermediates!$B$31-intermediates!$B$29))*intermediates!$B$77,0)</f>
        <v>0.15</v>
      </c>
      <c r="GQ141" s="218">
        <f>IF(AND(A141&gt;intermediates!$B$29+intermediates!$B$30,data!GP141&lt;intermediates!$B$77),1,0)</f>
        <v>0</v>
      </c>
      <c r="GR141" s="218">
        <f t="shared" si="243"/>
        <v>7205893461843.75</v>
      </c>
      <c r="GS141" s="218">
        <f t="shared" si="244"/>
        <v>43812008103434.516</v>
      </c>
      <c r="GT141" s="218">
        <f t="shared" si="238"/>
        <v>86708720794625</v>
      </c>
      <c r="GU141" s="218">
        <f t="shared" si="245"/>
        <v>45875324510843.75</v>
      </c>
      <c r="GV141" s="218">
        <f t="shared" si="246"/>
        <v>30728183193217.453</v>
      </c>
      <c r="GW141" s="218">
        <f t="shared" si="247"/>
        <v>4227281642190.4844</v>
      </c>
      <c r="GX141" s="218">
        <f>MIN(intermediates!$B$88,FN141*intermediates!$B$87*GO141)</f>
        <v>1843690991593.0466</v>
      </c>
      <c r="GY141" s="218">
        <f t="shared" si="248"/>
        <v>1843690991593.0466</v>
      </c>
      <c r="GZ141" s="218">
        <f>MIN(intermediates!$B$88-GX141,intermediates!$B$87*data!GW141*FN141)</f>
        <v>2113640821095.2422</v>
      </c>
      <c r="HA141" s="218">
        <f t="shared" si="276"/>
        <v>2113640821095.2422</v>
      </c>
      <c r="HB141" s="218">
        <f t="shared" si="277"/>
        <v>3957331812688.2891</v>
      </c>
      <c r="HC141" s="218">
        <f t="shared" si="249"/>
        <v>6147881277875.5059</v>
      </c>
      <c r="HD141" s="218">
        <f>HC141*intermediates!$B$79/(10000*1000000000)</f>
        <v>408.06072874675272</v>
      </c>
      <c r="HE141" s="218">
        <f>(GV141*intermediates!$B$80+GV141*GL141*intermediates!$B$82)/(10000*1000000000)</f>
        <v>1145.6432912828868</v>
      </c>
      <c r="HF141" s="218">
        <f>GU141*intermediates!$B$78/(10000*1000000000)</f>
        <v>4619.6154707550731</v>
      </c>
      <c r="HG141" s="218">
        <f>HB141*intermediates!$B$81/(10000*1000000000)</f>
        <v>994.72881152311356</v>
      </c>
      <c r="HH141" s="218">
        <f t="shared" si="250"/>
        <v>0</v>
      </c>
      <c r="HI141" s="218">
        <f t="shared" si="251"/>
        <v>16.255237900553198</v>
      </c>
      <c r="HJ141" s="218">
        <f t="shared" si="252"/>
        <v>-1.453490913225437</v>
      </c>
      <c r="HK141" s="218">
        <f ca="1">SUM(HJ141:INDIRECT(ADDRESS(MAX(CELL("row",HJ141)-intermediates!$B$83,69),CELL("col",HJ141))))/intermediates!$B$83+SUM(HH141:INDIRECT(ADDRESS(MAX(CELL("row",HH141)-intermediates!$B$84,69),CELL("col",HH141))))/intermediates!$B$84+SUM(HI141:INDIRECT(ADDRESS(MAX(CELL("row",HI141)-intermediates!$B$85,69),CELL("col",HI141))))/intermediates!$B$85</f>
        <v>17.214257394480846</v>
      </c>
      <c r="HL141" s="218">
        <f t="shared" ca="1" si="278"/>
        <v>-373.91472001984721</v>
      </c>
      <c r="HM141" s="188">
        <f t="shared" si="253"/>
        <v>2085</v>
      </c>
      <c r="HQ141" s="185">
        <f t="shared" si="254"/>
        <v>877.57756040973175</v>
      </c>
      <c r="HR141" s="185">
        <f t="shared" si="255"/>
        <v>572.59783840640614</v>
      </c>
      <c r="HS141" s="185">
        <f t="shared" si="256"/>
        <v>408.15881501369046</v>
      </c>
      <c r="HT141" s="185">
        <f t="shared" si="257"/>
        <v>364.46903079340353</v>
      </c>
      <c r="HU141" s="185">
        <f t="shared" si="258"/>
        <v>335.50422273526738</v>
      </c>
      <c r="HV141" s="185">
        <f t="shared" si="259"/>
        <v>308.66388491644597</v>
      </c>
      <c r="HW141" s="185">
        <f t="shared" si="260"/>
        <v>603.19193410629077</v>
      </c>
      <c r="HX141" s="185">
        <f t="shared" si="261"/>
        <v>13.891573611884166</v>
      </c>
      <c r="HY141" s="185">
        <f t="shared" si="262"/>
        <v>183.36681990350934</v>
      </c>
      <c r="HZ141" s="185">
        <f t="shared" si="279"/>
        <v>3470.163286381236</v>
      </c>
      <c r="IA141" s="185">
        <f t="shared" si="280"/>
        <v>3667.4216798966295</v>
      </c>
      <c r="IB141" s="185">
        <f t="shared" si="263"/>
        <v>2613.2301845738384</v>
      </c>
      <c r="IC141" s="185">
        <f t="shared" si="231"/>
        <v>4021.279560708605</v>
      </c>
      <c r="ID141" s="185">
        <f t="shared" si="264"/>
        <v>3236.9461231623654</v>
      </c>
      <c r="IE141" s="184">
        <f t="shared" si="281"/>
        <v>-0.17025809307846948</v>
      </c>
      <c r="IF141" s="184">
        <f t="shared" si="282"/>
        <v>-0.10931843390283885</v>
      </c>
    </row>
    <row r="142" spans="1:240" x14ac:dyDescent="0.3">
      <c r="A142" s="211">
        <v>2086</v>
      </c>
      <c r="E142" s="207">
        <v>8066637.8260000004</v>
      </c>
      <c r="F142" s="207">
        <v>10763874.023</v>
      </c>
      <c r="G142" s="207">
        <v>14092686.346000001</v>
      </c>
      <c r="I142" s="207">
        <f t="shared" si="284"/>
        <v>8066637826</v>
      </c>
      <c r="J142" s="207">
        <f t="shared" si="284"/>
        <v>10763874023</v>
      </c>
      <c r="K142" s="207">
        <f t="shared" si="284"/>
        <v>14092686346</v>
      </c>
      <c r="L142" s="187">
        <f>IF(intermediates!$B$4&gt;=2,(intermediates!$B$4-2)*K142+(1-(intermediates!$B$4-2))*J142,(intermediates!$B$4-1)*J142+(1-(intermediates!$B$4-1))*I142)</f>
        <v>11993069454.800827</v>
      </c>
      <c r="AJ142" s="184">
        <f>IF(intermediates!$B$46=0,$AJ$74+(intermediates!$B$15-$AJ$74)*MIN(1,(data!A142-data!$A$74)/(intermediates!$B$32-data!$A$74)),IF(A142&lt;2021,$AJ$74+(intermediates!$B$15-$AJ$74)*MIN(1,(data!A142-data!$A$74)/(intermediates!$B$32-data!$A$74)),intermediates!$B$47+(intermediates!$B$15-intermediates!$B$47)*MIN(1,(data!A142-$A$77)/(intermediates!$B$32-$A$77))))</f>
        <v>27400</v>
      </c>
      <c r="AK142" s="192">
        <f t="shared" si="285"/>
        <v>27400</v>
      </c>
      <c r="AL142" s="192">
        <f t="shared" si="234"/>
        <v>328610103061542.69</v>
      </c>
      <c r="AM142" s="192">
        <f>data!AL142/(1000000*conversions!$C$1)</f>
        <v>28166.580262417945</v>
      </c>
      <c r="AN142" s="192">
        <f>IF(intermediates!$B$13=1,($AJ$74+(27400-$AJ$74)*MIN(1,(data!A142-data!$A$74)/(intermediates!$B$32-data!$A$74)))*L142/(1000000*conversions!$C$1),data!AM142)</f>
        <v>28166.580262417945</v>
      </c>
      <c r="AV142" s="214">
        <f>IF(A142&lt;intermediates!$B$29,0,IF(A142&lt;intermediates!$B$31,(data!A142-intermediates!$B$29)*intermediates!$B$26/(intermediates!$B$31-intermediates!$B$29),intermediates!$B$26))</f>
        <v>10</v>
      </c>
      <c r="AW142" s="212">
        <f>MIN(AW141+intermediates!$B$16,intermediates!$B$17*data!$AW$74)</f>
        <v>1897.5897864678325</v>
      </c>
      <c r="AX142" s="212">
        <f>AV142*1000/conversions!$C$16/intermediates!$B$40</f>
        <v>8187.0584968062822</v>
      </c>
      <c r="AY142" s="212">
        <f>AX142*(1-intermediates!$B$39)*intermediates!$B$28/(conversions!$C$2)</f>
        <v>2143.0300372958864</v>
      </c>
      <c r="AZ142" s="213">
        <f>IF(A142&lt;intermediates!$B$29,0,MIN(intermediates!$B$25,intermediates!$B$25*(A142-intermediates!$B$29)/(intermediates!$B$31-intermediates!$B$29)))</f>
        <v>0</v>
      </c>
      <c r="BA142" s="212">
        <f>IF(A142&lt;intermediates!$B$29,data!$BA$74,IF(intermediates!$B$23&gt;data!$BA$74,MIN(intermediates!$B$23,data!$BA$74+(intermediates!$B$23-data!$BA$74)*((data!A142-intermediates!$B$29)/(intermediates!$B$31-intermediates!$B$29))),MAX(intermediates!$B$23,data!$BA$74+(intermediates!$B$23-data!$BA$74)*((data!A142-intermediates!$B$29)/(intermediates!$B$31-intermediates!$B$29)))))</f>
        <v>0.08</v>
      </c>
      <c r="BB142" s="212">
        <f t="shared" si="286"/>
        <v>2253.3264209934355</v>
      </c>
      <c r="BC142" s="212">
        <f t="shared" si="303"/>
        <v>2253.3264209934355</v>
      </c>
      <c r="BD142" s="212">
        <f t="shared" si="304"/>
        <v>0</v>
      </c>
      <c r="BE142" s="214">
        <f>MAX(0,MIN(1,(data!A142-intermediates!$B$29)/(intermediates!$B$31-intermediates!$B$29)))*((intermediates!$B$38*L142)-$BE$69*1000000000)/1000000000+$BE$69</f>
        <v>1499.1336818501031</v>
      </c>
      <c r="BF142" s="214">
        <f t="shared" si="237"/>
        <v>1499.1336818501031</v>
      </c>
      <c r="BG142" s="214">
        <f t="shared" si="305"/>
        <v>0</v>
      </c>
      <c r="BH142" s="214">
        <f>BD142*conversions!$C$2/conversions!$C$17+BG142*conversions!$C$6/conversions!$C$10</f>
        <v>0</v>
      </c>
      <c r="BI142" s="214">
        <f>BH142*intermediates!$B$41*conversions!$C$11/(conversions!$C$2*conversions!$C$6*intermediates!$B$42)</f>
        <v>0</v>
      </c>
      <c r="BJ142" s="214">
        <f>BH142*intermediates!$B$43/(conversions!$C$1*intermediates!$B$42)</f>
        <v>0</v>
      </c>
      <c r="BK142" s="214">
        <f t="shared" si="287"/>
        <v>0</v>
      </c>
      <c r="BL142" s="214">
        <f t="shared" si="288"/>
        <v>28166.580262417945</v>
      </c>
      <c r="BM142" s="214">
        <f t="shared" si="289"/>
        <v>21872.634017660792</v>
      </c>
      <c r="BN142" s="214">
        <f>IF(A142&lt;intermediates!$B$29,MIN(BO141+intermediates!$B$33*AN141),MIN(BO141*intermediates!$B$35,BO141+intermediates!$B$37*AN141))</f>
        <v>22612.830643286594</v>
      </c>
      <c r="BO142" s="212">
        <f>IF(A142&lt;intermediates!$B$29,MIN(BM142,BO141+intermediates!$B$33*AN141),MIN(BM142,BO141*intermediates!$B$35,BO141+intermediates!$B$37*AN141))</f>
        <v>21872.634017660792</v>
      </c>
      <c r="BP142" s="214">
        <f t="shared" si="290"/>
        <v>740.19662562580197</v>
      </c>
      <c r="BQ142" s="214">
        <f t="shared" si="291"/>
        <v>0</v>
      </c>
      <c r="BR142" s="212" t="str">
        <f t="shared" si="235"/>
        <v/>
      </c>
      <c r="BS142" s="212">
        <f>BP142*conversions!$C$1*intermediates!$B$42/intermediates!$B$43</f>
        <v>1652.0274479304985</v>
      </c>
      <c r="BT142" s="214">
        <f>MIN(BT141+BS142,intermediates!$B$27*1000)</f>
        <v>0</v>
      </c>
      <c r="BU142" s="219" t="str">
        <f>IF(AND(BT142=intermediates!$B$27*1000,BT141&lt;&gt;intermediates!$B$27*1000),A142,"")</f>
        <v/>
      </c>
      <c r="BV142" s="212">
        <f>BT142*intermediates!$B$43/(conversions!$C$1*intermediates!$B$42)</f>
        <v>0</v>
      </c>
      <c r="BW142" s="214">
        <f t="shared" si="292"/>
        <v>28166.580262417945</v>
      </c>
      <c r="BX142" s="214">
        <f t="shared" si="293"/>
        <v>21872.634017660792</v>
      </c>
      <c r="BY142" s="227">
        <f>IF(OR(BQ142&gt;0,BT142&lt;&gt;intermediates!$B$27*1000),MAX(0,(BX142-BX141)/AM141),0.000000000001)</f>
        <v>9.9999999999999998E-13</v>
      </c>
      <c r="BZ142" s="322">
        <f>BH142*intermediates!$B$49*1000000</f>
        <v>0</v>
      </c>
      <c r="CA142" s="322">
        <f>BI142*conversions!$C$1*1000000*intermediates!$B$50</f>
        <v>0</v>
      </c>
      <c r="CB142" s="322">
        <f>BT142*1000000*intermediates!$B$49</f>
        <v>0</v>
      </c>
      <c r="CC142" s="214">
        <f>BW142*conversions!$C$1*1000000/L142</f>
        <v>27400.000000000004</v>
      </c>
      <c r="CD142" s="173">
        <f t="shared" si="239"/>
        <v>2086</v>
      </c>
      <c r="CE142" s="173"/>
      <c r="CF142" s="173"/>
      <c r="CG142" s="173"/>
      <c r="CH142" s="173"/>
      <c r="CI142" s="173">
        <f t="shared" si="294"/>
        <v>0</v>
      </c>
      <c r="CJ142" s="173">
        <f t="shared" si="295"/>
        <v>1897.5897864678325</v>
      </c>
      <c r="CK142" s="173">
        <f t="shared" si="296"/>
        <v>2253.3264209934355</v>
      </c>
      <c r="CL142" s="173">
        <f t="shared" si="297"/>
        <v>2143.0300372958864</v>
      </c>
      <c r="CM142" s="173"/>
      <c r="CN142" s="173"/>
      <c r="CO142" s="329">
        <f t="shared" si="306"/>
        <v>21872.634017660792</v>
      </c>
      <c r="CP142" s="174">
        <f t="shared" si="298"/>
        <v>0</v>
      </c>
      <c r="CQ142" s="228">
        <f t="shared" si="299"/>
        <v>10</v>
      </c>
      <c r="CR142" s="228">
        <f t="shared" si="307"/>
        <v>505</v>
      </c>
      <c r="CS142" s="214">
        <f t="shared" ca="1" si="300"/>
        <v>-27.521443715157684</v>
      </c>
      <c r="CT142" s="190">
        <f t="shared" ca="1" si="301"/>
        <v>-2.2947789820512421</v>
      </c>
      <c r="CU142" s="190">
        <f t="shared" ca="1" si="236"/>
        <v>-27.521443715157687</v>
      </c>
      <c r="CV142" s="198">
        <f t="shared" si="308"/>
        <v>3203.9310777670239</v>
      </c>
      <c r="CW142" s="198">
        <f t="shared" ca="1" si="309"/>
        <v>3796.8898451957907</v>
      </c>
      <c r="CX142" s="198">
        <f t="shared" ca="1" si="302"/>
        <v>3055.3243540717162</v>
      </c>
      <c r="CY142" s="198">
        <f t="shared" ca="1" si="310"/>
        <v>-741.56549112407504</v>
      </c>
      <c r="CZ142" s="199">
        <f ca="1">IF(CX142&lt;intermediates!$B$55,intermediates!$B$56+(CX142-intermediates!$B$55)*intermediates!$B$53,intermediates!$B$56+(data!CX142-intermediates!$B$55)*intermediates!$B$58)</f>
        <v>1.6305762162178519</v>
      </c>
      <c r="DG142" s="201">
        <f>IF(A142&gt;MAX(intermediates!B$31,intermediates!$B$32),DG141,DG141+intermediates!$B$60*DG$73)</f>
        <v>19505207416250</v>
      </c>
      <c r="DH142" s="201">
        <f>IF(A142&gt;MAX(intermediates!B$31,intermediates!$B$32),DH141,DH141+intermediates!$B$61*DH$73)</f>
        <v>28534082329375</v>
      </c>
      <c r="DI142" s="201">
        <f>IF(A142&gt;MAX(intermediates!B$31,intermediates!$B$32),DI141,DI141+intermediates!$B$62*DI$73)</f>
        <v>38669431049000</v>
      </c>
      <c r="DJ142" s="221"/>
      <c r="EE142" s="218"/>
      <c r="EF142" s="212">
        <f>$EF$69+intermediates!$B$90*(A142-2013)*intermediates!$B$92+intermediates!$B$91*intermediates!$B$92*(A142-2013)^2</f>
        <v>3153.8016585492187</v>
      </c>
      <c r="EH142" s="212">
        <f>IF(A142&lt;intermediates!$B$29,data!EH141,IF(A142&lt;intermediates!$B$31,data!$EH$69+(intermediates!$B$93-data!$EH$69)*(data!A142-intermediates!$B$29)/(intermediates!$B$31-intermediates!$B$29),intermediates!$B$93))</f>
        <v>2.522212345090466E-2</v>
      </c>
      <c r="EI142" s="212">
        <f t="shared" si="265"/>
        <v>2.522212345090466E-2</v>
      </c>
      <c r="EN142" s="218"/>
      <c r="EO142" s="212">
        <f t="shared" si="266"/>
        <v>3074.2560837776223</v>
      </c>
      <c r="EQ142" s="212">
        <f t="shared" si="267"/>
        <v>79.545574771596421</v>
      </c>
      <c r="ET142" s="214">
        <f>IF(A142&lt;intermediates!$B$29,ET141+intermediates!$B$63,ET141+intermediates!$B$63*intermediates!$B$67)</f>
        <v>1513.9695883095537</v>
      </c>
      <c r="EU142" s="215">
        <f t="shared" si="268"/>
        <v>1513.9695883095537</v>
      </c>
      <c r="EV142" s="216">
        <f>data!EU142*conversions!$C$13</f>
        <v>1.760746631204011</v>
      </c>
      <c r="EX142" s="212">
        <f>intermediates!$B$64+intermediates!$B$64*(EXP(-(data!A142-intermediates!$B$66)/intermediates!$B$65)-1)</f>
        <v>5.5821515074617779E-3</v>
      </c>
      <c r="EY142" s="217">
        <f>IF(A142&lt;intermediates!$B$29,data!EX142,data!EY141+(data!EX142-data!EX141)*intermediates!$B$68)</f>
        <v>5.5821515074617779E-3</v>
      </c>
      <c r="EZ142" s="217">
        <f t="shared" si="269"/>
        <v>5.5821515074617779E-3</v>
      </c>
      <c r="FB142" s="212">
        <f>intermediates!$B$94+intermediates!$B$95+(intermediates!$B$95*(EXP(-(data!A142-intermediates!$B$97)/intermediates!$B$96)-1))</f>
        <v>1.5467921085397505</v>
      </c>
      <c r="FC142" s="217">
        <f>IF(A142&lt;intermediates!$B$29,data!FB142,data!FC141+(data!FB142-data!FB141)*intermediates!$B$68)</f>
        <v>1.5467921085397505</v>
      </c>
      <c r="FD142" s="212">
        <f t="shared" si="270"/>
        <v>1.5467921085397505</v>
      </c>
      <c r="FF142" s="184">
        <f>intermediates!$B$98+intermediates!$B$99*EXP(-(A142-intermediates!$B$101)/intermediates!$B$100)</f>
        <v>0.90024289210445163</v>
      </c>
      <c r="FG142" s="184">
        <f t="shared" si="240"/>
        <v>0.90024289210445163</v>
      </c>
      <c r="FI142" s="184">
        <f>intermediates!$B$102+intermediates!$B$103*EXP(-(A142-intermediates!$B$105)/intermediates!$B$104)</f>
        <v>1.4523218109212062E-2</v>
      </c>
      <c r="FJ142" s="184">
        <f t="shared" si="271"/>
        <v>1.4523218109212062E-2</v>
      </c>
      <c r="FL142" s="184">
        <f>intermediates!$B$106</f>
        <v>4.5616870531049965E-2</v>
      </c>
      <c r="FM142" s="184">
        <f t="shared" si="272"/>
        <v>4.5616870531049965E-2</v>
      </c>
      <c r="FN142" s="218">
        <f>IF(A142&lt;intermediates!$B$29,0,IF(A142&lt;intermediates!$B$31,(data!A142-intermediates!$B$29)/(intermediates!$B$31-intermediates!$B$29),1))</f>
        <v>1</v>
      </c>
      <c r="FO142" s="218">
        <f t="shared" si="232"/>
        <v>348208395116100.06</v>
      </c>
      <c r="FP142" s="218">
        <f t="shared" si="177"/>
        <v>386793828832251.19</v>
      </c>
      <c r="FQ142" s="218">
        <f t="shared" si="178"/>
        <v>2159141754692.8638</v>
      </c>
      <c r="FR142" s="218">
        <f t="shared" si="179"/>
        <v>598289642069601.13</v>
      </c>
      <c r="FS142" s="218">
        <f t="shared" si="180"/>
        <v>395179432063.51373</v>
      </c>
      <c r="FT142" s="218">
        <f>intermediates!$B$69*data!EU142/intermediates!$B$71</f>
        <v>3.8535579440435228</v>
      </c>
      <c r="FU142" s="218">
        <f>BC142*conversions!$C$1*1000000</f>
        <v>26288808244923.414</v>
      </c>
      <c r="FV142" s="218">
        <f t="shared" si="184"/>
        <v>6821957429122.9346</v>
      </c>
      <c r="FX142" s="221"/>
      <c r="FY142" s="221"/>
      <c r="FZ142" s="221"/>
      <c r="GA142" s="218">
        <f t="shared" si="241"/>
        <v>1499.1336818501031</v>
      </c>
      <c r="GB142" s="218">
        <f>GA142*1000000*10000*intermediates!$B$71/(intermediates!$B$72*data!EU142)</f>
        <v>4862823213049.5361</v>
      </c>
      <c r="GC142" s="218">
        <f t="shared" si="233"/>
        <v>8888860755222.3887</v>
      </c>
      <c r="GD142" s="218">
        <f t="shared" si="283"/>
        <v>20968820829458.375</v>
      </c>
      <c r="GE142" s="218">
        <f t="shared" si="182"/>
        <v>22310581157910.895</v>
      </c>
      <c r="GF142" s="218">
        <f t="shared" si="183"/>
        <v>324021436299.61694</v>
      </c>
      <c r="GG142" s="218">
        <f t="shared" si="273"/>
        <v>1017738892152.9041</v>
      </c>
      <c r="GH142" s="218">
        <f t="shared" si="242"/>
        <v>9118857710118.2266</v>
      </c>
      <c r="GI142" s="218">
        <f t="shared" si="274"/>
        <v>165182477167.67578</v>
      </c>
      <c r="GJ142" s="218">
        <f>ET142*intermediates!$B$73/intermediates!$B$71</f>
        <v>5.7803369160652842</v>
      </c>
      <c r="GK142" s="218">
        <f>CL142*conversions!$C$1*1000000/data!GJ142</f>
        <v>4325356370196.5645</v>
      </c>
      <c r="GL142" s="218">
        <f>MIN(1,FN142)*(intermediates!$B$75-data!$GL$69)+data!$GL$69</f>
        <v>1</v>
      </c>
      <c r="GM142" s="218">
        <f>GL142*intermediates!$B$74*(FS142+GC142+GK142+GG142+GF142+GB142+FV142)</f>
        <v>3995390629216.1182</v>
      </c>
      <c r="GN142" s="218">
        <f>MIN(1,FN142)*intermediates!$B$76</f>
        <v>0.12</v>
      </c>
      <c r="GO142" s="218">
        <f t="shared" si="275"/>
        <v>3675759378878.8291</v>
      </c>
      <c r="GP142" s="218">
        <f>IF(A142&gt;intermediates!$B$29,MIN(1,(A142-intermediates!$B$29)/(intermediates!$B$31-intermediates!$B$29))*intermediates!$B$77,0)</f>
        <v>0.15</v>
      </c>
      <c r="GQ142" s="218">
        <f>IF(AND(A142&gt;intermediates!$B$29+intermediates!$B$30,data!GP142&lt;intermediates!$B$77),1,0)</f>
        <v>0</v>
      </c>
      <c r="GR142" s="218">
        <f t="shared" si="243"/>
        <v>7205893461843.75</v>
      </c>
      <c r="GS142" s="218">
        <f t="shared" si="244"/>
        <v>43672122752739.016</v>
      </c>
      <c r="GT142" s="218">
        <f t="shared" si="238"/>
        <v>86708720794625</v>
      </c>
      <c r="GU142" s="218">
        <f t="shared" si="245"/>
        <v>45875324510843.75</v>
      </c>
      <c r="GV142" s="218">
        <f t="shared" si="246"/>
        <v>30631328157323.578</v>
      </c>
      <c r="GW142" s="218">
        <f t="shared" si="247"/>
        <v>4367166992885.9844</v>
      </c>
      <c r="GX142" s="218">
        <f>MIN(intermediates!$B$88,FN142*intermediates!$B$87*GO142)</f>
        <v>1837879689439.4146</v>
      </c>
      <c r="GY142" s="218">
        <f t="shared" si="248"/>
        <v>1837879689439.4146</v>
      </c>
      <c r="GZ142" s="218">
        <f>MIN(intermediates!$B$88-GX142,intermediates!$B$87*data!GW142*FN142)</f>
        <v>2183583496442.9922</v>
      </c>
      <c r="HA142" s="218">
        <f t="shared" si="276"/>
        <v>2183583496442.9922</v>
      </c>
      <c r="HB142" s="218">
        <f t="shared" si="277"/>
        <v>4021463185882.4067</v>
      </c>
      <c r="HC142" s="218">
        <f t="shared" si="249"/>
        <v>6180604940575.2705</v>
      </c>
      <c r="HD142" s="218">
        <f>HC142*intermediates!$B$79/(10000*1000000000)</f>
        <v>410.23273582447285</v>
      </c>
      <c r="HE142" s="218">
        <f>(GV142*intermediates!$B$80+GV142*GL142*intermediates!$B$82)/(10000*1000000000)</f>
        <v>1142.0322309933456</v>
      </c>
      <c r="HF142" s="218">
        <f>GU142*intermediates!$B$78/(10000*1000000000)</f>
        <v>4619.6154707550731</v>
      </c>
      <c r="HG142" s="218">
        <f>HB142*intermediates!$B$81/(10000*1000000000)</f>
        <v>1010.8490985392772</v>
      </c>
      <c r="HH142" s="218">
        <f t="shared" si="250"/>
        <v>0</v>
      </c>
      <c r="HI142" s="218">
        <f t="shared" si="251"/>
        <v>16.120287016163616</v>
      </c>
      <c r="HJ142" s="218">
        <f t="shared" si="252"/>
        <v>-1.4390532118210899</v>
      </c>
      <c r="HK142" s="218">
        <f ca="1">SUM(HJ142:INDIRECT(ADDRESS(MAX(CELL("row",HJ142)-intermediates!$B$83,69),CELL("col",HJ142))))/intermediates!$B$83+SUM(HH142:INDIRECT(ADDRESS(MAX(CELL("row",HH142)-intermediates!$B$84,69),CELL("col",HH142))))/intermediates!$B$84+SUM(HI142:INDIRECT(ADDRESS(MAX(CELL("row",HI142)-intermediates!$B$85,69),CELL("col",HI142))))/intermediates!$B$85</f>
        <v>17.521443715157684</v>
      </c>
      <c r="HL142" s="218">
        <f t="shared" ca="1" si="278"/>
        <v>-356.39327630468955</v>
      </c>
      <c r="HM142" s="188">
        <f t="shared" si="253"/>
        <v>2086</v>
      </c>
      <c r="HQ142" s="185">
        <f t="shared" si="254"/>
        <v>872.22191766623689</v>
      </c>
      <c r="HR142" s="185">
        <f t="shared" si="255"/>
        <v>568.82497469337216</v>
      </c>
      <c r="HS142" s="185">
        <f t="shared" si="256"/>
        <v>405.46944478028911</v>
      </c>
      <c r="HT142" s="185">
        <f t="shared" si="257"/>
        <v>360.65465863412669</v>
      </c>
      <c r="HU142" s="185">
        <f t="shared" si="258"/>
        <v>333.14162352464012</v>
      </c>
      <c r="HV142" s="185">
        <f t="shared" si="259"/>
        <v>306.49029364266897</v>
      </c>
      <c r="HW142" s="185">
        <f t="shared" si="260"/>
        <v>600.83813314023871</v>
      </c>
      <c r="HX142" s="185">
        <f t="shared" si="261"/>
        <v>13.773161056909682</v>
      </c>
      <c r="HY142" s="185">
        <f t="shared" si="262"/>
        <v>180.03245648081852</v>
      </c>
      <c r="HZ142" s="185">
        <f t="shared" si="279"/>
        <v>3447.6410460815728</v>
      </c>
      <c r="IA142" s="185">
        <f t="shared" si="280"/>
        <v>3641.446663619301</v>
      </c>
      <c r="IB142" s="185">
        <f t="shared" si="263"/>
        <v>2613.2301845738384</v>
      </c>
      <c r="IC142" s="185">
        <f t="shared" ref="IC142:IC156" si="311">(DG142+DH142)/L142</f>
        <v>4005.5875542682584</v>
      </c>
      <c r="ID142" s="185">
        <f t="shared" si="264"/>
        <v>3224.3147756907738</v>
      </c>
      <c r="IE142" s="184">
        <f t="shared" si="281"/>
        <v>-0.17304343620332532</v>
      </c>
      <c r="IF142" s="184">
        <f t="shared" si="282"/>
        <v>-0.11293589986757549</v>
      </c>
    </row>
    <row r="143" spans="1:240" x14ac:dyDescent="0.3">
      <c r="A143" s="211">
        <v>2087</v>
      </c>
      <c r="E143" s="207">
        <v>8018841.5180000002</v>
      </c>
      <c r="F143" s="207">
        <v>10776402.018999999</v>
      </c>
      <c r="G143" s="207">
        <v>14197552.888</v>
      </c>
      <c r="I143" s="207">
        <f t="shared" si="284"/>
        <v>8018841518</v>
      </c>
      <c r="J143" s="207">
        <f t="shared" si="284"/>
        <v>10776402019</v>
      </c>
      <c r="K143" s="207">
        <f t="shared" si="284"/>
        <v>14197552888</v>
      </c>
      <c r="L143" s="187">
        <f>IF(intermediates!$B$4&gt;=2,(intermediates!$B$4-2)*K143+(1-(intermediates!$B$4-2))*J143,(intermediates!$B$4-1)*J143+(1-(intermediates!$B$4-1))*I143)</f>
        <v>12039694332.183447</v>
      </c>
      <c r="AJ143" s="184">
        <f>IF(intermediates!$B$46=0,$AJ$74+(intermediates!$B$15-$AJ$74)*MIN(1,(data!A143-data!$A$74)/(intermediates!$B$32-data!$A$74)),IF(A143&lt;2021,$AJ$74+(intermediates!$B$15-$AJ$74)*MIN(1,(data!A143-data!$A$74)/(intermediates!$B$32-data!$A$74)),intermediates!$B$47+(intermediates!$B$15-intermediates!$B$47)*MIN(1,(data!A143-$A$77)/(intermediates!$B$32-$A$77))))</f>
        <v>27400</v>
      </c>
      <c r="AK143" s="192">
        <f t="shared" si="285"/>
        <v>27400</v>
      </c>
      <c r="AL143" s="192">
        <f t="shared" si="234"/>
        <v>329887624701826.44</v>
      </c>
      <c r="AM143" s="192">
        <f>data!AL143/(1000000*conversions!$C$1)</f>
        <v>28276.082117299411</v>
      </c>
      <c r="AN143" s="192">
        <f>IF(intermediates!$B$13=1,($AJ$74+(27400-$AJ$74)*MIN(1,(data!A143-data!$A$74)/(intermediates!$B$32-data!$A$74)))*L143/(1000000*conversions!$C$1),data!AM143)</f>
        <v>28276.082117299411</v>
      </c>
      <c r="AV143" s="214">
        <f>IF(A143&lt;intermediates!$B$29,0,IF(A143&lt;intermediates!$B$31,(data!A143-intermediates!$B$29)*intermediates!$B$26/(intermediates!$B$31-intermediates!$B$29),intermediates!$B$26))</f>
        <v>10</v>
      </c>
      <c r="AW143" s="212">
        <f>MIN(AW142+intermediates!$B$16,intermediates!$B$17*data!$AW$74)</f>
        <v>1897.5897864678325</v>
      </c>
      <c r="AX143" s="212">
        <f>AV143*1000/conversions!$C$16/intermediates!$B$40</f>
        <v>8187.0584968062822</v>
      </c>
      <c r="AY143" s="212">
        <f>AX143*(1-intermediates!$B$39)*intermediates!$B$28/(conversions!$C$2)</f>
        <v>2143.0300372958864</v>
      </c>
      <c r="AZ143" s="213">
        <f>IF(A143&lt;intermediates!$B$29,0,MIN(intermediates!$B$25,intermediates!$B$25*(A143-intermediates!$B$29)/(intermediates!$B$31-intermediates!$B$29)))</f>
        <v>0</v>
      </c>
      <c r="BA143" s="212">
        <f>IF(A143&lt;intermediates!$B$29,data!$BA$74,IF(intermediates!$B$23&gt;data!$BA$74,MIN(intermediates!$B$23,data!$BA$74+(intermediates!$B$23-data!$BA$74)*((data!A143-intermediates!$B$29)/(intermediates!$B$31-intermediates!$B$29))),MAX(intermediates!$B$23,data!$BA$74+(intermediates!$B$23-data!$BA$74)*((data!A143-intermediates!$B$29)/(intermediates!$B$31-intermediates!$B$29)))))</f>
        <v>0.08</v>
      </c>
      <c r="BB143" s="212">
        <f t="shared" si="286"/>
        <v>2262.0865693839528</v>
      </c>
      <c r="BC143" s="212">
        <f t="shared" si="303"/>
        <v>2262.0865693839528</v>
      </c>
      <c r="BD143" s="212">
        <f t="shared" si="304"/>
        <v>0</v>
      </c>
      <c r="BE143" s="214">
        <f>MAX(0,MIN(1,(data!A143-intermediates!$B$29)/(intermediates!$B$31-intermediates!$B$29)))*((intermediates!$B$38*L143)-$BE$69*1000000000)/1000000000+$BE$69</f>
        <v>1504.9617915229308</v>
      </c>
      <c r="BF143" s="214">
        <f t="shared" si="237"/>
        <v>1504.9617915229308</v>
      </c>
      <c r="BG143" s="214">
        <f t="shared" si="305"/>
        <v>0</v>
      </c>
      <c r="BH143" s="214">
        <f>BD143*conversions!$C$2/conversions!$C$17+BG143*conversions!$C$6/conversions!$C$10</f>
        <v>0</v>
      </c>
      <c r="BI143" s="214">
        <f>BH143*intermediates!$B$41*conversions!$C$11/(conversions!$C$2*conversions!$C$6*intermediates!$B$42)</f>
        <v>0</v>
      </c>
      <c r="BJ143" s="214">
        <f>BH143*intermediates!$B$43/(conversions!$C$1*intermediates!$B$42)</f>
        <v>0</v>
      </c>
      <c r="BK143" s="214">
        <f t="shared" si="287"/>
        <v>0</v>
      </c>
      <c r="BL143" s="214">
        <f t="shared" si="288"/>
        <v>28276.082117299411</v>
      </c>
      <c r="BM143" s="214">
        <f t="shared" si="289"/>
        <v>21973.375724151738</v>
      </c>
      <c r="BN143" s="214">
        <f>IF(A143&lt;intermediates!$B$29,MIN(BO142+intermediates!$B$33*AN142),MIN(BO142*intermediates!$B$35,BO142+intermediates!$B$37*AN142))</f>
        <v>22717.246315324708</v>
      </c>
      <c r="BO143" s="212">
        <f>IF(A143&lt;intermediates!$B$29,MIN(BM143,BO142+intermediates!$B$33*AN142),MIN(BM143,BO142*intermediates!$B$35,BO142+intermediates!$B$37*AN142))</f>
        <v>21973.375724151738</v>
      </c>
      <c r="BP143" s="214">
        <f t="shared" si="290"/>
        <v>743.87059117297031</v>
      </c>
      <c r="BQ143" s="214">
        <f t="shared" si="291"/>
        <v>0</v>
      </c>
      <c r="BR143" s="212" t="str">
        <f t="shared" si="235"/>
        <v/>
      </c>
      <c r="BS143" s="212">
        <f>BP143*conversions!$C$1*intermediates!$B$42/intermediates!$B$43</f>
        <v>1660.2272852663436</v>
      </c>
      <c r="BT143" s="214">
        <f>MIN(BT142+BS143,intermediates!$B$27*1000)</f>
        <v>0</v>
      </c>
      <c r="BU143" s="219" t="str">
        <f>IF(AND(BT143=intermediates!$B$27*1000,BT142&lt;&gt;intermediates!$B$27*1000),A143,"")</f>
        <v/>
      </c>
      <c r="BV143" s="212">
        <f>BT143*intermediates!$B$43/(conversions!$C$1*intermediates!$B$42)</f>
        <v>0</v>
      </c>
      <c r="BW143" s="214">
        <f t="shared" si="292"/>
        <v>28276.082117299411</v>
      </c>
      <c r="BX143" s="214">
        <f t="shared" si="293"/>
        <v>21973.375724151738</v>
      </c>
      <c r="BY143" s="227">
        <f>IF(OR(BQ143&gt;0,BT143&lt;&gt;intermediates!$B$27*1000),MAX(0,(BX143-BX142)/AM142),0.000000000001)</f>
        <v>9.9999999999999998E-13</v>
      </c>
      <c r="BZ143" s="322">
        <f>BH143*intermediates!$B$49*1000000</f>
        <v>0</v>
      </c>
      <c r="CA143" s="322">
        <f>BI143*conversions!$C$1*1000000*intermediates!$B$50</f>
        <v>0</v>
      </c>
      <c r="CB143" s="322">
        <f>BT143*1000000*intermediates!$B$49</f>
        <v>0</v>
      </c>
      <c r="CC143" s="214">
        <f>BW143*conversions!$C$1*1000000/L143</f>
        <v>27400</v>
      </c>
      <c r="CD143" s="173">
        <f t="shared" si="239"/>
        <v>2087</v>
      </c>
      <c r="CE143" s="173"/>
      <c r="CF143" s="173"/>
      <c r="CG143" s="173"/>
      <c r="CH143" s="173"/>
      <c r="CI143" s="173">
        <f t="shared" si="294"/>
        <v>0</v>
      </c>
      <c r="CJ143" s="173">
        <f t="shared" si="295"/>
        <v>1897.5897864678325</v>
      </c>
      <c r="CK143" s="173">
        <f t="shared" si="296"/>
        <v>2262.0865693839528</v>
      </c>
      <c r="CL143" s="173">
        <f t="shared" si="297"/>
        <v>2143.0300372958864</v>
      </c>
      <c r="CM143" s="173"/>
      <c r="CN143" s="173"/>
      <c r="CO143" s="329">
        <f t="shared" si="306"/>
        <v>21973.375724151738</v>
      </c>
      <c r="CP143" s="174">
        <f t="shared" si="298"/>
        <v>0</v>
      </c>
      <c r="CQ143" s="228">
        <f t="shared" si="299"/>
        <v>10</v>
      </c>
      <c r="CR143" s="228">
        <f t="shared" si="307"/>
        <v>515</v>
      </c>
      <c r="CS143" s="214">
        <f t="shared" ca="1" si="300"/>
        <v>-27.827425420773785</v>
      </c>
      <c r="CT143" s="190">
        <f t="shared" ca="1" si="301"/>
        <v>-2.3113066372779887</v>
      </c>
      <c r="CU143" s="190">
        <f t="shared" ca="1" si="236"/>
        <v>-27.827425420773782</v>
      </c>
      <c r="CV143" s="198">
        <f t="shared" si="308"/>
        <v>3203.9310777670239</v>
      </c>
      <c r="CW143" s="198">
        <f t="shared" ca="1" si="309"/>
        <v>3796.8898451957907</v>
      </c>
      <c r="CX143" s="198">
        <f t="shared" ca="1" si="302"/>
        <v>3027.4969286509427</v>
      </c>
      <c r="CY143" s="198">
        <f t="shared" ca="1" si="310"/>
        <v>-769.39291654484884</v>
      </c>
      <c r="CZ143" s="199">
        <f ca="1">IF(CX143&lt;intermediates!$B$55,intermediates!$B$56+(CX143-intermediates!$B$55)*intermediates!$B$53,intermediates!$B$56+(data!CX143-intermediates!$B$55)*intermediates!$B$58)</f>
        <v>1.6154436706860846</v>
      </c>
      <c r="DG143" s="201">
        <f>IF(A143&gt;MAX(intermediates!B$31,intermediates!$B$32),DG142,DG142+intermediates!$B$60*DG$73)</f>
        <v>19505207416250</v>
      </c>
      <c r="DH143" s="201">
        <f>IF(A143&gt;MAX(intermediates!B$31,intermediates!$B$32),DH142,DH142+intermediates!$B$61*DH$73)</f>
        <v>28534082329375</v>
      </c>
      <c r="DI143" s="201">
        <f>IF(A143&gt;MAX(intermediates!B$31,intermediates!$B$32),DI142,DI142+intermediates!$B$62*DI$73)</f>
        <v>38669431049000</v>
      </c>
      <c r="DJ143" s="221"/>
      <c r="EE143" s="218"/>
      <c r="EF143" s="212">
        <f>$EF$69+intermediates!$B$90*(A143-2013)*intermediates!$B$92+intermediates!$B$91*intermediates!$B$92*(A143-2013)^2</f>
        <v>3155.7899485492189</v>
      </c>
      <c r="EH143" s="212">
        <f>IF(A143&lt;intermediates!$B$29,data!EH142,IF(A143&lt;intermediates!$B$31,data!$EH$69+(intermediates!$B$93-data!$EH$69)*(data!A143-intermediates!$B$29)/(intermediates!$B$31-intermediates!$B$29),intermediates!$B$93))</f>
        <v>2.522212345090466E-2</v>
      </c>
      <c r="EI143" s="212">
        <f t="shared" si="265"/>
        <v>2.522212345090466E-2</v>
      </c>
      <c r="EN143" s="218"/>
      <c r="EO143" s="212">
        <f t="shared" si="266"/>
        <v>3076.1942248817863</v>
      </c>
      <c r="EQ143" s="212">
        <f t="shared" si="267"/>
        <v>79.595723667432594</v>
      </c>
      <c r="ET143" s="214">
        <f>IF(A143&lt;intermediates!$B$29,ET142+intermediates!$B$63,ET142+intermediates!$B$63*intermediates!$B$67)</f>
        <v>1523.9451777009965</v>
      </c>
      <c r="EU143" s="215">
        <f t="shared" si="268"/>
        <v>1523.9451777009965</v>
      </c>
      <c r="EV143" s="216">
        <f>data!EU143*conversions!$C$13</f>
        <v>1.7723482416662588</v>
      </c>
      <c r="EX143" s="212">
        <f>intermediates!$B$64+intermediates!$B$64*(EXP(-(data!A143-intermediates!$B$66)/intermediates!$B$65)-1)</f>
        <v>5.4783765952271593E-3</v>
      </c>
      <c r="EY143" s="217">
        <f>IF(A143&lt;intermediates!$B$29,data!EX143,data!EY142+(data!EX143-data!EX142)*intermediates!$B$68)</f>
        <v>5.4783765952271593E-3</v>
      </c>
      <c r="EZ143" s="217">
        <f t="shared" si="269"/>
        <v>5.4783765952271593E-3</v>
      </c>
      <c r="FB143" s="212">
        <f>intermediates!$B$94+intermediates!$B$95+(intermediates!$B$95*(EXP(-(data!A143-intermediates!$B$97)/intermediates!$B$96)-1))</f>
        <v>1.5455160662856255</v>
      </c>
      <c r="FC143" s="217">
        <f>IF(A143&lt;intermediates!$B$29,data!FB143,data!FC142+(data!FB143-data!FB142)*intermediates!$B$68)</f>
        <v>1.5455160662856255</v>
      </c>
      <c r="FD143" s="212">
        <f t="shared" si="270"/>
        <v>1.5455160662856255</v>
      </c>
      <c r="FF143" s="184">
        <f>intermediates!$B$98+intermediates!$B$99*EXP(-(A143-intermediates!$B$101)/intermediates!$B$100)</f>
        <v>0.90045638494714952</v>
      </c>
      <c r="FG143" s="184">
        <f t="shared" si="240"/>
        <v>0.90045638494714952</v>
      </c>
      <c r="FI143" s="184">
        <f>intermediates!$B$102+intermediates!$B$103*EXP(-(A143-intermediates!$B$105)/intermediates!$B$104)</f>
        <v>1.4472806396388337E-2</v>
      </c>
      <c r="FJ143" s="184">
        <f t="shared" si="271"/>
        <v>1.4472806396388337E-2</v>
      </c>
      <c r="FL143" s="184">
        <f>intermediates!$B$106</f>
        <v>4.5616870531049965E-2</v>
      </c>
      <c r="FM143" s="184">
        <f t="shared" si="272"/>
        <v>4.5616870531049965E-2</v>
      </c>
      <c r="FN143" s="218">
        <f>IF(A143&lt;intermediates!$B$29,0,IF(A143&lt;intermediates!$B$31,(data!A143-intermediates!$B$29)/(intermediates!$B$31-intermediates!$B$29),1))</f>
        <v>1</v>
      </c>
      <c r="FO143" s="218">
        <f t="shared" si="232"/>
        <v>349782486833262.25</v>
      </c>
      <c r="FP143" s="218">
        <f t="shared" si="177"/>
        <v>388450226663440.25</v>
      </c>
      <c r="FQ143" s="218">
        <f t="shared" si="178"/>
        <v>2128076630163.676</v>
      </c>
      <c r="FR143" s="218">
        <f t="shared" si="179"/>
        <v>600356066260639.75</v>
      </c>
      <c r="FS143" s="218">
        <f t="shared" si="180"/>
        <v>393948598050.17981</v>
      </c>
      <c r="FT143" s="218">
        <f>intermediates!$B$69*data!EU143/intermediates!$B$71</f>
        <v>3.8789491487564476</v>
      </c>
      <c r="FU143" s="218">
        <f>BC143*conversions!$C$1*1000000</f>
        <v>26391009976146.113</v>
      </c>
      <c r="FV143" s="218">
        <f t="shared" si="184"/>
        <v>6803649381329.6855</v>
      </c>
      <c r="FX143" s="221"/>
      <c r="FY143" s="221"/>
      <c r="FZ143" s="221"/>
      <c r="GA143" s="218">
        <f t="shared" si="241"/>
        <v>1504.9617915229308</v>
      </c>
      <c r="GB143" s="218">
        <f>GA143*1000000*10000*intermediates!$B$71/(intermediates!$B$72*data!EU143)</f>
        <v>4849772882448.7373</v>
      </c>
      <c r="GC143" s="218">
        <f t="shared" si="233"/>
        <v>8870594645606.1113</v>
      </c>
      <c r="GD143" s="218">
        <f t="shared" si="283"/>
        <v>20917965507434.711</v>
      </c>
      <c r="GE143" s="218">
        <f t="shared" si="182"/>
        <v>22255277970619.574</v>
      </c>
      <c r="GF143" s="218">
        <f t="shared" si="183"/>
        <v>322096329366.58344</v>
      </c>
      <c r="GG143" s="218">
        <f t="shared" si="273"/>
        <v>1015216133818.2815</v>
      </c>
      <c r="GH143" s="218">
        <f t="shared" si="242"/>
        <v>9100118969677.2305</v>
      </c>
      <c r="GI143" s="218">
        <f t="shared" si="274"/>
        <v>164424273979.06055</v>
      </c>
      <c r="GJ143" s="218">
        <f>ET143*intermediates!$B$73/intermediates!$B$71</f>
        <v>5.8184237231346723</v>
      </c>
      <c r="GK143" s="218">
        <f>CL143*conversions!$C$1*1000000/data!GJ143</f>
        <v>4297043029433.3252</v>
      </c>
      <c r="GL143" s="218">
        <f>MIN(1,FN143)*(intermediates!$B$75-data!$GL$69)+data!$GL$69</f>
        <v>1</v>
      </c>
      <c r="GM143" s="218">
        <f>GL143*intermediates!$B$74*(FS143+GC143+GK143+GG143+GF143+GB143+FV143)</f>
        <v>3982848150007.9355</v>
      </c>
      <c r="GN143" s="218">
        <f>MIN(1,FN143)*intermediates!$B$76</f>
        <v>0.12</v>
      </c>
      <c r="GO143" s="218">
        <f t="shared" si="275"/>
        <v>3664220298007.3013</v>
      </c>
      <c r="GP143" s="218">
        <f>IF(A143&gt;intermediates!$B$29,MIN(1,(A143-intermediates!$B$29)/(intermediates!$B$31-intermediates!$B$29))*intermediates!$B$77,0)</f>
        <v>0.15</v>
      </c>
      <c r="GQ143" s="218">
        <f>IF(AND(A143&gt;intermediates!$B$29+intermediates!$B$30,data!GP143&lt;intermediates!$B$77),1,0)</f>
        <v>0</v>
      </c>
      <c r="GR143" s="218">
        <f t="shared" si="243"/>
        <v>7205893461843.75</v>
      </c>
      <c r="GS143" s="218">
        <f t="shared" si="244"/>
        <v>43533359540075.57</v>
      </c>
      <c r="GT143" s="218">
        <f t="shared" si="238"/>
        <v>86708720794625</v>
      </c>
      <c r="GU143" s="218">
        <f t="shared" si="245"/>
        <v>45875324510843.75</v>
      </c>
      <c r="GV143" s="218">
        <f t="shared" si="246"/>
        <v>30535169150060.836</v>
      </c>
      <c r="GW143" s="218">
        <f t="shared" si="247"/>
        <v>4505930205549.4297</v>
      </c>
      <c r="GX143" s="218">
        <f>MIN(intermediates!$B$88,FN143*intermediates!$B$87*GO143)</f>
        <v>1832110149003.6506</v>
      </c>
      <c r="GY143" s="218">
        <f t="shared" si="248"/>
        <v>1832110149003.6506</v>
      </c>
      <c r="GZ143" s="218">
        <f>MIN(intermediates!$B$88-GX143,intermediates!$B$87*data!GW143*FN143)</f>
        <v>2252965102774.7148</v>
      </c>
      <c r="HA143" s="218">
        <f t="shared" si="276"/>
        <v>2252965102774.7148</v>
      </c>
      <c r="HB143" s="218">
        <f t="shared" si="277"/>
        <v>4085075251778.3652</v>
      </c>
      <c r="HC143" s="218">
        <f t="shared" si="249"/>
        <v>6213151881942.041</v>
      </c>
      <c r="HD143" s="218">
        <f>HC143*intermediates!$B$79/(10000*1000000000)</f>
        <v>412.39301316430982</v>
      </c>
      <c r="HE143" s="218">
        <f>(GV143*intermediates!$B$80+GV143*GL143*intermediates!$B$82)/(10000*1000000000)</f>
        <v>1138.4471208397683</v>
      </c>
      <c r="HF143" s="218">
        <f>GU143*intermediates!$B$78/(10000*1000000000)</f>
        <v>4619.6154707550731</v>
      </c>
      <c r="HG143" s="218">
        <f>HB143*intermediates!$B$81/(10000*1000000000)</f>
        <v>1026.8388506506201</v>
      </c>
      <c r="HH143" s="218">
        <f t="shared" si="250"/>
        <v>0</v>
      </c>
      <c r="HI143" s="218">
        <f t="shared" si="251"/>
        <v>15.989752111342909</v>
      </c>
      <c r="HJ143" s="218">
        <f t="shared" si="252"/>
        <v>-1.424832813740295</v>
      </c>
      <c r="HK143" s="218">
        <f ca="1">SUM(HJ143:INDIRECT(ADDRESS(MAX(CELL("row",HJ143)-intermediates!$B$83,69),CELL("col",HJ143))))/intermediates!$B$83+SUM(HH143:INDIRECT(ADDRESS(MAX(CELL("row",HH143)-intermediates!$B$84,69),CELL("col",HH143))))/intermediates!$B$84+SUM(HI143:INDIRECT(ADDRESS(MAX(CELL("row",HI143)-intermediates!$B$85,69),CELL("col",HI143))))/intermediates!$B$85</f>
        <v>17.827425420773785</v>
      </c>
      <c r="HL143" s="218">
        <f t="shared" ca="1" si="278"/>
        <v>-338.56585088391574</v>
      </c>
      <c r="HM143" s="188">
        <f t="shared" si="253"/>
        <v>2087</v>
      </c>
      <c r="HQ143" s="185">
        <f t="shared" si="254"/>
        <v>866.91830746580308</v>
      </c>
      <c r="HR143" s="185">
        <f t="shared" si="255"/>
        <v>565.10150454092275</v>
      </c>
      <c r="HS143" s="185">
        <f t="shared" si="256"/>
        <v>402.81528323229543</v>
      </c>
      <c r="HT143" s="185">
        <f t="shared" si="257"/>
        <v>356.90632260877669</v>
      </c>
      <c r="HU143" s="185">
        <f t="shared" si="258"/>
        <v>330.80973985870537</v>
      </c>
      <c r="HV143" s="185">
        <f t="shared" si="259"/>
        <v>304.34496067000902</v>
      </c>
      <c r="HW143" s="185">
        <f t="shared" si="260"/>
        <v>598.51132952616513</v>
      </c>
      <c r="HX143" s="185">
        <f t="shared" si="261"/>
        <v>13.656847876904658</v>
      </c>
      <c r="HY143" s="185">
        <f t="shared" si="262"/>
        <v>176.75503808058397</v>
      </c>
      <c r="HZ143" s="185">
        <f t="shared" si="279"/>
        <v>3425.4074479026767</v>
      </c>
      <c r="IA143" s="185">
        <f t="shared" si="280"/>
        <v>3615.819333860165</v>
      </c>
      <c r="IB143" s="185">
        <f t="shared" si="263"/>
        <v>2613.2301845738384</v>
      </c>
      <c r="IC143" s="185">
        <f t="shared" si="311"/>
        <v>3990.0755301744343</v>
      </c>
      <c r="ID143" s="185">
        <f t="shared" si="264"/>
        <v>3211.8283057761937</v>
      </c>
      <c r="IE143" s="184">
        <f t="shared" si="281"/>
        <v>-0.17580892517082908</v>
      </c>
      <c r="IF143" s="184">
        <f t="shared" si="282"/>
        <v>-0.11652434709576541</v>
      </c>
    </row>
    <row r="144" spans="1:240" x14ac:dyDescent="0.3">
      <c r="A144" s="211">
        <v>2088</v>
      </c>
      <c r="E144" s="207">
        <v>7970086.7410000097</v>
      </c>
      <c r="F144" s="207">
        <v>10788248.948000001</v>
      </c>
      <c r="G144" s="207">
        <v>14303073.145</v>
      </c>
      <c r="I144" s="207">
        <f t="shared" si="284"/>
        <v>7970086741.0000095</v>
      </c>
      <c r="J144" s="207">
        <f t="shared" si="284"/>
        <v>10788248948</v>
      </c>
      <c r="K144" s="207">
        <f t="shared" si="284"/>
        <v>14303073145</v>
      </c>
      <c r="L144" s="187">
        <f>IF(intermediates!$B$4&gt;=2,(intermediates!$B$4-2)*K144+(1-(intermediates!$B$4-2))*J144,(intermediates!$B$4-1)*J144+(1-(intermediates!$B$4-1))*I144)</f>
        <v>12086131023.442982</v>
      </c>
      <c r="AJ144" s="184">
        <f>IF(intermediates!$B$46=0,$AJ$74+(intermediates!$B$15-$AJ$74)*MIN(1,(data!A144-data!$A$74)/(intermediates!$B$32-data!$A$74)),IF(A144&lt;2021,$AJ$74+(intermediates!$B$15-$AJ$74)*MIN(1,(data!A144-data!$A$74)/(intermediates!$B$32-data!$A$74)),intermediates!$B$47+(intermediates!$B$15-intermediates!$B$47)*MIN(1,(data!A144-$A$77)/(intermediates!$B$32-$A$77))))</f>
        <v>27400</v>
      </c>
      <c r="AK144" s="192">
        <f t="shared" si="285"/>
        <v>27400</v>
      </c>
      <c r="AL144" s="192">
        <f t="shared" si="234"/>
        <v>331159990042337.69</v>
      </c>
      <c r="AM144" s="192">
        <f>data!AL144/(1000000*conversions!$C$1)</f>
        <v>28385.142003628946</v>
      </c>
      <c r="AN144" s="192">
        <f>IF(intermediates!$B$13=1,($AJ$74+(27400-$AJ$74)*MIN(1,(data!A144-data!$A$74)/(intermediates!$B$32-data!$A$74)))*L144/(1000000*conversions!$C$1),data!AM144)</f>
        <v>28385.142003628946</v>
      </c>
      <c r="AV144" s="214">
        <f>IF(A144&lt;intermediates!$B$29,0,IF(A144&lt;intermediates!$B$31,(data!A144-intermediates!$B$29)*intermediates!$B$26/(intermediates!$B$31-intermediates!$B$29),intermediates!$B$26))</f>
        <v>10</v>
      </c>
      <c r="AW144" s="212">
        <f>MIN(AW143+intermediates!$B$16,intermediates!$B$17*data!$AW$74)</f>
        <v>1897.5897864678325</v>
      </c>
      <c r="AX144" s="212">
        <f>AV144*1000/conversions!$C$16/intermediates!$B$40</f>
        <v>8187.0584968062822</v>
      </c>
      <c r="AY144" s="212">
        <f>AX144*(1-intermediates!$B$39)*intermediates!$B$28/(conversions!$C$2)</f>
        <v>2143.0300372958864</v>
      </c>
      <c r="AZ144" s="213">
        <f>IF(A144&lt;intermediates!$B$29,0,MIN(intermediates!$B$25,intermediates!$B$25*(A144-intermediates!$B$29)/(intermediates!$B$31-intermediates!$B$29)))</f>
        <v>0</v>
      </c>
      <c r="BA144" s="212">
        <f>IF(A144&lt;intermediates!$B$29,data!$BA$74,IF(intermediates!$B$23&gt;data!$BA$74,MIN(intermediates!$B$23,data!$BA$74+(intermediates!$B$23-data!$BA$74)*((data!A144-intermediates!$B$29)/(intermediates!$B$31-intermediates!$B$29))),MAX(intermediates!$B$23,data!$BA$74+(intermediates!$B$23-data!$BA$74)*((data!A144-intermediates!$B$29)/(intermediates!$B$31-intermediates!$B$29)))))</f>
        <v>0.08</v>
      </c>
      <c r="BB144" s="212">
        <f t="shared" si="286"/>
        <v>2270.8113602903159</v>
      </c>
      <c r="BC144" s="212">
        <f t="shared" si="303"/>
        <v>2270.8113602903159</v>
      </c>
      <c r="BD144" s="212">
        <f t="shared" si="304"/>
        <v>0</v>
      </c>
      <c r="BE144" s="214">
        <f>MAX(0,MIN(1,(data!A144-intermediates!$B$29)/(intermediates!$B$31-intermediates!$B$29)))*((intermediates!$B$38*L144)-$BE$69*1000000000)/1000000000+$BE$69</f>
        <v>1510.7663779303728</v>
      </c>
      <c r="BF144" s="214">
        <f t="shared" si="237"/>
        <v>1510.7663779303728</v>
      </c>
      <c r="BG144" s="214">
        <f t="shared" si="305"/>
        <v>0</v>
      </c>
      <c r="BH144" s="214">
        <f>BD144*conversions!$C$2/conversions!$C$17+BG144*conversions!$C$6/conversions!$C$10</f>
        <v>0</v>
      </c>
      <c r="BI144" s="214">
        <f>BH144*intermediates!$B$41*conversions!$C$11/(conversions!$C$2*conversions!$C$6*intermediates!$B$42)</f>
        <v>0</v>
      </c>
      <c r="BJ144" s="214">
        <f>BH144*intermediates!$B$43/(conversions!$C$1*intermediates!$B$42)</f>
        <v>0</v>
      </c>
      <c r="BK144" s="214">
        <f t="shared" si="287"/>
        <v>0</v>
      </c>
      <c r="BL144" s="214">
        <f t="shared" si="288"/>
        <v>28385.142003628946</v>
      </c>
      <c r="BM144" s="214">
        <f t="shared" si="289"/>
        <v>22073.71081957491</v>
      </c>
      <c r="BN144" s="214">
        <f>IF(A144&lt;intermediates!$B$29,MIN(BO143+intermediates!$B$33*AN143),MIN(BO143*intermediates!$B$35,BO143+intermediates!$B$37*AN143))</f>
        <v>22821.271580287721</v>
      </c>
      <c r="BO144" s="212">
        <f>IF(A144&lt;intermediates!$B$29,MIN(BM144,BO143+intermediates!$B$33*AN143),MIN(BM144,BO143*intermediates!$B$35,BO143+intermediates!$B$37*AN143))</f>
        <v>22073.71081957491</v>
      </c>
      <c r="BP144" s="214">
        <f t="shared" si="290"/>
        <v>747.56076071281132</v>
      </c>
      <c r="BQ144" s="214">
        <f t="shared" si="291"/>
        <v>0</v>
      </c>
      <c r="BR144" s="212" t="str">
        <f t="shared" si="235"/>
        <v/>
      </c>
      <c r="BS144" s="212">
        <f>BP144*conversions!$C$1*intermediates!$B$42/intermediates!$B$43</f>
        <v>1668.4632879125061</v>
      </c>
      <c r="BT144" s="214">
        <f>MIN(BT143+BS144,intermediates!$B$27*1000)</f>
        <v>0</v>
      </c>
      <c r="BU144" s="219" t="str">
        <f>IF(AND(BT144=intermediates!$B$27*1000,BT143&lt;&gt;intermediates!$B$27*1000),A144,"")</f>
        <v/>
      </c>
      <c r="BV144" s="212">
        <f>BT144*intermediates!$B$43/(conversions!$C$1*intermediates!$B$42)</f>
        <v>0</v>
      </c>
      <c r="BW144" s="214">
        <f t="shared" si="292"/>
        <v>28385.142003628946</v>
      </c>
      <c r="BX144" s="214">
        <f t="shared" si="293"/>
        <v>22073.71081957491</v>
      </c>
      <c r="BY144" s="227">
        <f>IF(OR(BQ144&gt;0,BT144&lt;&gt;intermediates!$B$27*1000),MAX(0,(BX144-BX143)/AM143),0.000000000001)</f>
        <v>9.9999999999999998E-13</v>
      </c>
      <c r="BZ144" s="322">
        <f>BH144*intermediates!$B$49*1000000</f>
        <v>0</v>
      </c>
      <c r="CA144" s="322">
        <f>BI144*conversions!$C$1*1000000*intermediates!$B$50</f>
        <v>0</v>
      </c>
      <c r="CB144" s="322">
        <f>BT144*1000000*intermediates!$B$49</f>
        <v>0</v>
      </c>
      <c r="CC144" s="214">
        <f>BW144*conversions!$C$1*1000000/L144</f>
        <v>27399.999999999993</v>
      </c>
      <c r="CD144" s="173">
        <f t="shared" si="239"/>
        <v>2088</v>
      </c>
      <c r="CE144" s="173"/>
      <c r="CF144" s="173"/>
      <c r="CG144" s="173"/>
      <c r="CH144" s="173"/>
      <c r="CI144" s="173">
        <f t="shared" si="294"/>
        <v>0</v>
      </c>
      <c r="CJ144" s="173">
        <f t="shared" si="295"/>
        <v>1897.5897864678325</v>
      </c>
      <c r="CK144" s="173">
        <f t="shared" si="296"/>
        <v>2270.8113602903159</v>
      </c>
      <c r="CL144" s="173">
        <f t="shared" si="297"/>
        <v>2143.0300372958864</v>
      </c>
      <c r="CM144" s="173"/>
      <c r="CN144" s="173"/>
      <c r="CO144" s="329">
        <f t="shared" si="306"/>
        <v>22073.71081957491</v>
      </c>
      <c r="CP144" s="174">
        <f t="shared" si="298"/>
        <v>0</v>
      </c>
      <c r="CQ144" s="228">
        <f t="shared" si="299"/>
        <v>10</v>
      </c>
      <c r="CR144" s="228">
        <f t="shared" si="307"/>
        <v>525</v>
      </c>
      <c r="CS144" s="214">
        <f t="shared" ca="1" si="300"/>
        <v>-28.132257026788217</v>
      </c>
      <c r="CT144" s="190">
        <f t="shared" ca="1" si="301"/>
        <v>-2.3276478611907492</v>
      </c>
      <c r="CU144" s="190">
        <f t="shared" ca="1" si="236"/>
        <v>-28.132257026788217</v>
      </c>
      <c r="CV144" s="198">
        <f t="shared" si="308"/>
        <v>3203.9310777670239</v>
      </c>
      <c r="CW144" s="198">
        <f t="shared" ca="1" si="309"/>
        <v>3796.8898451957907</v>
      </c>
      <c r="CX144" s="198">
        <f t="shared" ca="1" si="302"/>
        <v>2999.3646716241547</v>
      </c>
      <c r="CY144" s="198">
        <f t="shared" ca="1" si="310"/>
        <v>-797.52517357163708</v>
      </c>
      <c r="CZ144" s="199">
        <f ca="1">IF(CX144&lt;intermediates!$B$55,intermediates!$B$56+(CX144-intermediates!$B$55)*intermediates!$B$53,intermediates!$B$56+(data!CX144-intermediates!$B$55)*intermediates!$B$58)</f>
        <v>1.6001453578191156</v>
      </c>
      <c r="DG144" s="201">
        <f>IF(A144&gt;MAX(intermediates!B$31,intermediates!$B$32),DG143,DG143+intermediates!$B$60*DG$73)</f>
        <v>19505207416250</v>
      </c>
      <c r="DH144" s="201">
        <f>IF(A144&gt;MAX(intermediates!B$31,intermediates!$B$32),DH143,DH143+intermediates!$B$61*DH$73)</f>
        <v>28534082329375</v>
      </c>
      <c r="DI144" s="201">
        <f>IF(A144&gt;MAX(intermediates!B$31,intermediates!$B$32),DI143,DI143+intermediates!$B$62*DI$73)</f>
        <v>38669431049000</v>
      </c>
      <c r="DJ144" s="221"/>
      <c r="EE144" s="218"/>
      <c r="EF144" s="212">
        <f>$EF$69+intermediates!$B$90*(A144-2013)*intermediates!$B$92+intermediates!$B$91*intermediates!$B$92*(A144-2013)^2</f>
        <v>3157.6968385492187</v>
      </c>
      <c r="EH144" s="212">
        <f>IF(A144&lt;intermediates!$B$29,data!EH143,IF(A144&lt;intermediates!$B$31,data!$EH$69+(intermediates!$B$93-data!$EH$69)*(data!A144-intermediates!$B$29)/(intermediates!$B$31-intermediates!$B$29),intermediates!$B$93))</f>
        <v>2.522212345090466E-2</v>
      </c>
      <c r="EI144" s="212">
        <f t="shared" si="265"/>
        <v>2.522212345090466E-2</v>
      </c>
      <c r="EN144" s="218"/>
      <c r="EO144" s="212">
        <f t="shared" si="266"/>
        <v>3078.0530190667987</v>
      </c>
      <c r="EQ144" s="212">
        <f t="shared" si="267"/>
        <v>79.643819482419985</v>
      </c>
      <c r="ET144" s="214">
        <f>IF(A144&lt;intermediates!$B$29,ET143+intermediates!$B$63,ET143+intermediates!$B$63*intermediates!$B$67)</f>
        <v>1533.9207670924393</v>
      </c>
      <c r="EU144" s="215">
        <f t="shared" si="268"/>
        <v>1533.9207670924393</v>
      </c>
      <c r="EV144" s="216">
        <f>data!EU144*conversions!$C$13</f>
        <v>1.7839498521285069</v>
      </c>
      <c r="EX144" s="212">
        <f>intermediates!$B$64+intermediates!$B$64*(EXP(-(data!A144-intermediates!$B$66)/intermediates!$B$65)-1)</f>
        <v>5.3765309090973712E-3</v>
      </c>
      <c r="EY144" s="217">
        <f>IF(A144&lt;intermediates!$B$29,data!EX144,data!EY143+(data!EX144-data!EX143)*intermediates!$B$68)</f>
        <v>5.3765309090973712E-3</v>
      </c>
      <c r="EZ144" s="217">
        <f t="shared" si="269"/>
        <v>5.3765309090973712E-3</v>
      </c>
      <c r="FB144" s="212">
        <f>intermediates!$B$94+intermediates!$B$95+(intermediates!$B$95*(EXP(-(data!A144-intermediates!$B$97)/intermediates!$B$96)-1))</f>
        <v>1.5442748222888376</v>
      </c>
      <c r="FC144" s="217">
        <f>IF(A144&lt;intermediates!$B$29,data!FB144,data!FC143+(data!FB144-data!FB143)*intermediates!$B$68)</f>
        <v>1.5442748222888376</v>
      </c>
      <c r="FD144" s="212">
        <f t="shared" si="270"/>
        <v>1.5442748222888376</v>
      </c>
      <c r="FF144" s="184">
        <f>intermediates!$B$98+intermediates!$B$99*EXP(-(A144-intermediates!$B$101)/intermediates!$B$100)</f>
        <v>0.90066520640623959</v>
      </c>
      <c r="FG144" s="184">
        <f t="shared" si="240"/>
        <v>0.90066520640623959</v>
      </c>
      <c r="FI144" s="184">
        <f>intermediates!$B$102+intermediates!$B$103*EXP(-(A144-intermediates!$B$105)/intermediates!$B$104)</f>
        <v>1.4423716083762356E-2</v>
      </c>
      <c r="FJ144" s="184">
        <f t="shared" si="271"/>
        <v>1.4423716083762356E-2</v>
      </c>
      <c r="FL144" s="184">
        <f>intermediates!$B$106</f>
        <v>4.5616870531049965E-2</v>
      </c>
      <c r="FM144" s="184">
        <f t="shared" si="272"/>
        <v>4.5616870531049965E-2</v>
      </c>
      <c r="FN144" s="218">
        <f>IF(A144&lt;intermediates!$B$29,0,IF(A144&lt;intermediates!$B$31,(data!A144-intermediates!$B$29)/(intermediates!$B$31-intermediates!$B$29),1))</f>
        <v>1</v>
      </c>
      <c r="FO144" s="218">
        <f t="shared" si="232"/>
        <v>351343757677268.63</v>
      </c>
      <c r="FP144" s="218">
        <f t="shared" si="177"/>
        <v>390093627663459.63</v>
      </c>
      <c r="FQ144" s="218">
        <f t="shared" si="178"/>
        <v>2097350446574.512</v>
      </c>
      <c r="FR144" s="218">
        <f t="shared" si="179"/>
        <v>602411767535997.13</v>
      </c>
      <c r="FS144" s="218">
        <f t="shared" si="180"/>
        <v>392726782542.93024</v>
      </c>
      <c r="FT144" s="218">
        <f>intermediates!$B$69*data!EU144/intermediates!$B$71</f>
        <v>3.9043403534693728</v>
      </c>
      <c r="FU144" s="218">
        <f>BC144*conversions!$C$1*1000000</f>
        <v>26492799203387.02</v>
      </c>
      <c r="FV144" s="218">
        <f t="shared" si="184"/>
        <v>6785473807334.876</v>
      </c>
      <c r="FX144" s="221"/>
      <c r="FY144" s="221"/>
      <c r="FZ144" s="221"/>
      <c r="GA144" s="218">
        <f t="shared" si="241"/>
        <v>1510.7663779303728</v>
      </c>
      <c r="GB144" s="218">
        <f>GA144*1000000*10000*intermediates!$B$71/(intermediates!$B$72*data!EU144)</f>
        <v>4836816981733.915</v>
      </c>
      <c r="GC144" s="218">
        <f t="shared" si="233"/>
        <v>8852243090079.918</v>
      </c>
      <c r="GD144" s="218">
        <f t="shared" si="283"/>
        <v>20867260661691.641</v>
      </c>
      <c r="GE144" s="218">
        <f t="shared" si="182"/>
        <v>22200172012257.309</v>
      </c>
      <c r="GF144" s="218">
        <f t="shared" si="183"/>
        <v>320208978115.48663</v>
      </c>
      <c r="GG144" s="218">
        <f t="shared" si="273"/>
        <v>1012702372450.1807</v>
      </c>
      <c r="GH144" s="218">
        <f t="shared" si="242"/>
        <v>9081292572435.6758</v>
      </c>
      <c r="GI144" s="218">
        <f t="shared" si="274"/>
        <v>163677300187.17188</v>
      </c>
      <c r="GJ144" s="218">
        <f>ET144*intermediates!$B$73/intermediates!$B$71</f>
        <v>5.8565105302040594</v>
      </c>
      <c r="GK144" s="218">
        <f>CL144*conversions!$C$1*1000000/data!GJ144</f>
        <v>4269097950535.7759</v>
      </c>
      <c r="GL144" s="218">
        <f>MIN(1,FN144)*(intermediates!$B$75-data!$GL$69)+data!$GL$69</f>
        <v>1</v>
      </c>
      <c r="GM144" s="218">
        <f>GL144*intermediates!$B$74*(FS144+GC144+GK144+GG144+GF144+GB144+FV144)</f>
        <v>3970390494418.9619</v>
      </c>
      <c r="GN144" s="218">
        <f>MIN(1,FN144)*intermediates!$B$76</f>
        <v>0.12</v>
      </c>
      <c r="GO144" s="218">
        <f t="shared" si="275"/>
        <v>3652759254865.4443</v>
      </c>
      <c r="GP144" s="218">
        <f>IF(A144&gt;intermediates!$B$29,MIN(1,(A144-intermediates!$B$29)/(intermediates!$B$31-intermediates!$B$29))*intermediates!$B$77,0)</f>
        <v>0.15</v>
      </c>
      <c r="GQ144" s="218">
        <f>IF(AND(A144&gt;intermediates!$B$29+intermediates!$B$30,data!GP144&lt;intermediates!$B$77),1,0)</f>
        <v>0</v>
      </c>
      <c r="GR144" s="218">
        <f t="shared" si="243"/>
        <v>7205893461843.75</v>
      </c>
      <c r="GS144" s="218">
        <f t="shared" si="244"/>
        <v>43395663620495.75</v>
      </c>
      <c r="GT144" s="218">
        <f t="shared" si="238"/>
        <v>86708720794625</v>
      </c>
      <c r="GU144" s="218">
        <f t="shared" si="245"/>
        <v>45875324510843.75</v>
      </c>
      <c r="GV144" s="218">
        <f t="shared" si="246"/>
        <v>30439660457212.047</v>
      </c>
      <c r="GW144" s="218">
        <f t="shared" si="247"/>
        <v>4643626125129.25</v>
      </c>
      <c r="GX144" s="218">
        <f>MIN(intermediates!$B$88,FN144*intermediates!$B$87*GO144)</f>
        <v>1826379627432.7222</v>
      </c>
      <c r="GY144" s="218">
        <f t="shared" si="248"/>
        <v>1826379627432.7222</v>
      </c>
      <c r="GZ144" s="218">
        <f>MIN(intermediates!$B$88-GX144,intermediates!$B$87*data!GW144*FN144)</f>
        <v>2321813062564.625</v>
      </c>
      <c r="HA144" s="218">
        <f t="shared" si="276"/>
        <v>2321813062564.625</v>
      </c>
      <c r="HB144" s="218">
        <f t="shared" si="277"/>
        <v>4148192689997.3472</v>
      </c>
      <c r="HC144" s="218">
        <f t="shared" si="249"/>
        <v>6245543136571.8594</v>
      </c>
      <c r="HD144" s="218">
        <f>HC144*intermediates!$B$79/(10000*1000000000)</f>
        <v>414.54295692084128</v>
      </c>
      <c r="HE144" s="218">
        <f>(GV144*intermediates!$B$80+GV144*GL144*intermediates!$B$82)/(10000*1000000000)</f>
        <v>1134.8862564523947</v>
      </c>
      <c r="HF144" s="218">
        <f>GU144*intermediates!$B$78/(10000*1000000000)</f>
        <v>4619.6154707550731</v>
      </c>
      <c r="HG144" s="218">
        <f>HB144*intermediates!$B$81/(10000*1000000000)</f>
        <v>1042.7042714133286</v>
      </c>
      <c r="HH144" s="218">
        <f t="shared" si="250"/>
        <v>0</v>
      </c>
      <c r="HI144" s="218">
        <f t="shared" si="251"/>
        <v>15.865420762708482</v>
      </c>
      <c r="HJ144" s="218">
        <f t="shared" si="252"/>
        <v>-1.4109206308421562</v>
      </c>
      <c r="HK144" s="218">
        <f ca="1">SUM(HJ144:INDIRECT(ADDRESS(MAX(CELL("row",HJ144)-intermediates!$B$83,69),CELL("col",HJ144))))/intermediates!$B$83+SUM(HH144:INDIRECT(ADDRESS(MAX(CELL("row",HH144)-intermediates!$B$84,69),CELL("col",HH144))))/intermediates!$B$84+SUM(HI144:INDIRECT(ADDRESS(MAX(CELL("row",HI144)-intermediates!$B$85,69),CELL("col",HI144))))/intermediates!$B$85</f>
        <v>18.132257026788217</v>
      </c>
      <c r="HL144" s="218">
        <f t="shared" ca="1" si="278"/>
        <v>-320.43359385712751</v>
      </c>
      <c r="HM144" s="188">
        <f t="shared" si="253"/>
        <v>2088</v>
      </c>
      <c r="HQ144" s="185">
        <f t="shared" si="254"/>
        <v>861.66564823774718</v>
      </c>
      <c r="HR144" s="185">
        <f t="shared" si="255"/>
        <v>561.42646428152773</v>
      </c>
      <c r="HS144" s="185">
        <f t="shared" si="256"/>
        <v>400.19564344885356</v>
      </c>
      <c r="HT144" s="185">
        <f t="shared" si="257"/>
        <v>353.22287523237821</v>
      </c>
      <c r="HU144" s="185">
        <f t="shared" si="258"/>
        <v>328.507980487532</v>
      </c>
      <c r="HV144" s="185">
        <f t="shared" si="259"/>
        <v>302.22734204852935</v>
      </c>
      <c r="HW144" s="185">
        <f t="shared" si="260"/>
        <v>596.21176105626921</v>
      </c>
      <c r="HX144" s="185">
        <f t="shared" si="261"/>
        <v>13.542572049706694</v>
      </c>
      <c r="HY144" s="185">
        <f t="shared" si="262"/>
        <v>173.53365129886197</v>
      </c>
      <c r="HZ144" s="185">
        <f t="shared" si="279"/>
        <v>3403.4577147928371</v>
      </c>
      <c r="IA144" s="185">
        <f t="shared" si="280"/>
        <v>3590.533938141406</v>
      </c>
      <c r="IB144" s="185">
        <f t="shared" si="263"/>
        <v>2613.2301845738384</v>
      </c>
      <c r="IC144" s="185">
        <f t="shared" si="311"/>
        <v>3974.7450737084619</v>
      </c>
      <c r="ID144" s="185">
        <f t="shared" si="264"/>
        <v>3199.487989497587</v>
      </c>
      <c r="IE144" s="184">
        <f t="shared" si="281"/>
        <v>-0.17855586918622363</v>
      </c>
      <c r="IF144" s="184">
        <f t="shared" si="282"/>
        <v>-0.12008519388984742</v>
      </c>
    </row>
    <row r="145" spans="1:240" x14ac:dyDescent="0.3">
      <c r="A145" s="184">
        <v>2089</v>
      </c>
      <c r="E145" s="207">
        <v>7920408.477</v>
      </c>
      <c r="F145" s="207">
        <v>10799413.366</v>
      </c>
      <c r="G145" s="207">
        <v>14409190.991</v>
      </c>
      <c r="I145" s="207">
        <f t="shared" si="284"/>
        <v>7920408477</v>
      </c>
      <c r="J145" s="207">
        <f t="shared" si="284"/>
        <v>10799413366</v>
      </c>
      <c r="K145" s="207">
        <f t="shared" si="284"/>
        <v>14409190991</v>
      </c>
      <c r="L145" s="187">
        <f>IF(intermediates!$B$4&gt;=2,(intermediates!$B$4-2)*K145+(1-(intermediates!$B$4-2))*J145,(intermediates!$B$4-1)*J145+(1-(intermediates!$B$4-1))*I145)</f>
        <v>12132357892.733791</v>
      </c>
      <c r="AJ145" s="184">
        <f>IF(intermediates!$B$46=0,$AJ$74+(intermediates!$B$15-$AJ$74)*MIN(1,(data!A145-data!$A$74)/(intermediates!$B$32-data!$A$74)),IF(A145&lt;2021,$AJ$74+(intermediates!$B$15-$AJ$74)*MIN(1,(data!A145-data!$A$74)/(intermediates!$B$32-data!$A$74)),intermediates!$B$47+(intermediates!$B$15-intermediates!$B$47)*MIN(1,(data!A145-$A$77)/(intermediates!$B$32-$A$77))))</f>
        <v>27400</v>
      </c>
      <c r="AK145" s="192">
        <f t="shared" si="285"/>
        <v>27400</v>
      </c>
      <c r="AL145" s="192">
        <f t="shared" si="234"/>
        <v>332426606260905.88</v>
      </c>
      <c r="AM145" s="192">
        <f>data!AL145/(1000000*conversions!$C$1)</f>
        <v>28493.709108077648</v>
      </c>
      <c r="AN145" s="192">
        <f>IF(intermediates!$B$13=1,($AJ$74+(27400-$AJ$74)*MIN(1,(data!A145-data!$A$74)/(intermediates!$B$32-data!$A$74)))*L145/(1000000*conversions!$C$1),data!AM145)</f>
        <v>28493.709108077648</v>
      </c>
      <c r="AV145" s="214">
        <f>IF(A145&lt;intermediates!$B$29,0,IF(A145&lt;intermediates!$B$31,(data!A145-intermediates!$B$29)*intermediates!$B$26/(intermediates!$B$31-intermediates!$B$29),intermediates!$B$26))</f>
        <v>10</v>
      </c>
      <c r="AW145" s="212">
        <f>MIN(AW144+intermediates!$B$16,intermediates!$B$17*data!$AW$74)</f>
        <v>1897.5897864678325</v>
      </c>
      <c r="AX145" s="212">
        <f>AV145*1000/conversions!$C$16/intermediates!$B$40</f>
        <v>8187.0584968062822</v>
      </c>
      <c r="AY145" s="212">
        <f>AX145*(1-intermediates!$B$39)*intermediates!$B$28/(conversions!$C$2)</f>
        <v>2143.0300372958864</v>
      </c>
      <c r="AZ145" s="213">
        <f>IF(A145&lt;intermediates!$B$29,0,MIN(intermediates!$B$25,intermediates!$B$25*(A145-intermediates!$B$29)/(intermediates!$B$31-intermediates!$B$29)))</f>
        <v>0</v>
      </c>
      <c r="BA145" s="212">
        <f>IF(A145&lt;intermediates!$B$29,data!$BA$74,IF(intermediates!$B$23&gt;data!$BA$74,MIN(intermediates!$B$23,data!$BA$74+(intermediates!$B$23-data!$BA$74)*((data!A145-intermediates!$B$29)/(intermediates!$B$31-intermediates!$B$29))),MAX(intermediates!$B$23,data!$BA$74+(intermediates!$B$23-data!$BA$74)*((data!A145-intermediates!$B$29)/(intermediates!$B$31-intermediates!$B$29)))))</f>
        <v>0.08</v>
      </c>
      <c r="BB145" s="212">
        <f t="shared" si="286"/>
        <v>2279.496728646212</v>
      </c>
      <c r="BC145" s="212">
        <f t="shared" si="303"/>
        <v>2279.496728646212</v>
      </c>
      <c r="BD145" s="212">
        <f t="shared" si="304"/>
        <v>0</v>
      </c>
      <c r="BE145" s="214">
        <f>MAX(0,MIN(1,(data!A145-intermediates!$B$29)/(intermediates!$B$31-intermediates!$B$29)))*((intermediates!$B$38*L145)-$BE$69*1000000000)/1000000000+$BE$69</f>
        <v>1516.5447365917239</v>
      </c>
      <c r="BF145" s="214">
        <f t="shared" si="237"/>
        <v>1516.5447365917239</v>
      </c>
      <c r="BG145" s="214">
        <f t="shared" si="305"/>
        <v>0</v>
      </c>
      <c r="BH145" s="214">
        <f>BD145*conversions!$C$2/conversions!$C$17+BG145*conversions!$C$6/conversions!$C$10</f>
        <v>0</v>
      </c>
      <c r="BI145" s="214">
        <f>BH145*intermediates!$B$41*conversions!$C$11/(conversions!$C$2*conversions!$C$6*intermediates!$B$42)</f>
        <v>0</v>
      </c>
      <c r="BJ145" s="214">
        <f>BH145*intermediates!$B$43/(conversions!$C$1*intermediates!$B$42)</f>
        <v>0</v>
      </c>
      <c r="BK145" s="214">
        <f t="shared" si="287"/>
        <v>0</v>
      </c>
      <c r="BL145" s="214">
        <f t="shared" si="288"/>
        <v>28493.709108077648</v>
      </c>
      <c r="BM145" s="214">
        <f t="shared" si="289"/>
        <v>22173.592555667718</v>
      </c>
      <c r="BN145" s="214">
        <f>IF(A145&lt;intermediates!$B$29,MIN(BO144+intermediates!$B$33*AN144),MIN(BO144*intermediates!$B$35,BO144+intermediates!$B$37*AN144))</f>
        <v>22924.876981169262</v>
      </c>
      <c r="BO145" s="212">
        <f>IF(A145&lt;intermediates!$B$29,MIN(BM145,BO144+intermediates!$B$33*AN144),MIN(BM145,BO144*intermediates!$B$35,BO144+intermediates!$B$37*AN144))</f>
        <v>22173.592555667718</v>
      </c>
      <c r="BP145" s="214">
        <f t="shared" si="290"/>
        <v>751.28442550154432</v>
      </c>
      <c r="BQ145" s="214">
        <f t="shared" si="291"/>
        <v>0</v>
      </c>
      <c r="BR145" s="212" t="str">
        <f t="shared" si="235"/>
        <v/>
      </c>
      <c r="BS145" s="212">
        <f>BP145*conversions!$C$1*intermediates!$B$42/intermediates!$B$43</f>
        <v>1676.7740478172516</v>
      </c>
      <c r="BT145" s="214">
        <f>MIN(BT144+BS145,intermediates!$B$27*1000)</f>
        <v>0</v>
      </c>
      <c r="BU145" s="219" t="str">
        <f>IF(AND(BT145=intermediates!$B$27*1000,BT144&lt;&gt;intermediates!$B$27*1000),A145,"")</f>
        <v/>
      </c>
      <c r="BV145" s="212">
        <f>BT145*intermediates!$B$43/(conversions!$C$1*intermediates!$B$42)</f>
        <v>0</v>
      </c>
      <c r="BW145" s="214">
        <f t="shared" si="292"/>
        <v>28493.709108077648</v>
      </c>
      <c r="BX145" s="214">
        <f t="shared" si="293"/>
        <v>22173.592555667718</v>
      </c>
      <c r="BY145" s="227">
        <f>IF(OR(BQ145&gt;0,BT145&lt;&gt;intermediates!$B$27*1000),MAX(0,(BX145-BX144)/AM144),0.000000000001)</f>
        <v>9.9999999999999998E-13</v>
      </c>
      <c r="BZ145" s="322">
        <f>BH145*intermediates!$B$49*1000000</f>
        <v>0</v>
      </c>
      <c r="CA145" s="322">
        <f>BI145*conversions!$C$1*1000000*intermediates!$B$50</f>
        <v>0</v>
      </c>
      <c r="CB145" s="322">
        <f>BT145*1000000*intermediates!$B$49</f>
        <v>0</v>
      </c>
      <c r="CC145" s="214">
        <f>BW145*conversions!$C$1*1000000/L145</f>
        <v>27400</v>
      </c>
      <c r="CD145" s="173">
        <f t="shared" si="239"/>
        <v>2089</v>
      </c>
      <c r="CE145" s="173"/>
      <c r="CF145" s="173"/>
      <c r="CG145" s="173"/>
      <c r="CH145" s="173"/>
      <c r="CI145" s="173">
        <f t="shared" si="294"/>
        <v>0</v>
      </c>
      <c r="CJ145" s="173">
        <f t="shared" si="295"/>
        <v>1897.5897864678325</v>
      </c>
      <c r="CK145" s="173">
        <f t="shared" si="296"/>
        <v>2279.496728646212</v>
      </c>
      <c r="CL145" s="173">
        <f t="shared" si="297"/>
        <v>2143.0300372958864</v>
      </c>
      <c r="CM145" s="173"/>
      <c r="CN145" s="173"/>
      <c r="CO145" s="329">
        <f t="shared" si="306"/>
        <v>22173.592555667718</v>
      </c>
      <c r="CP145" s="174">
        <f t="shared" si="298"/>
        <v>0</v>
      </c>
      <c r="CQ145" s="228">
        <f t="shared" si="299"/>
        <v>10</v>
      </c>
      <c r="CR145" s="228">
        <f t="shared" si="307"/>
        <v>535</v>
      </c>
      <c r="CS145" s="214">
        <f t="shared" ca="1" si="300"/>
        <v>-28.436027298706765</v>
      </c>
      <c r="CT145" s="190">
        <f t="shared" ca="1" si="301"/>
        <v>-2.3438170510727705</v>
      </c>
      <c r="CU145" s="190">
        <f t="shared" ca="1" si="236"/>
        <v>-28.436027298706769</v>
      </c>
      <c r="CV145" s="198">
        <f t="shared" si="308"/>
        <v>3203.9310777670239</v>
      </c>
      <c r="CW145" s="198">
        <f t="shared" ca="1" si="309"/>
        <v>3796.8898451957907</v>
      </c>
      <c r="CX145" s="198">
        <f t="shared" ca="1" si="302"/>
        <v>2970.9286443254477</v>
      </c>
      <c r="CY145" s="198">
        <f t="shared" ca="1" si="310"/>
        <v>-825.96120087034387</v>
      </c>
      <c r="CZ145" s="199">
        <f ca="1">IF(CX145&lt;intermediates!$B$55,intermediates!$B$56+(CX145-intermediates!$B$55)*intermediates!$B$53,intermediates!$B$56+(data!CX145-intermediates!$B$55)*intermediates!$B$58)</f>
        <v>1.5846818547701045</v>
      </c>
      <c r="DG145" s="201">
        <f>IF(A145&gt;MAX(intermediates!B$31,intermediates!$B$32),DG144,DG144+intermediates!$B$60*DG$73)</f>
        <v>19505207416250</v>
      </c>
      <c r="DH145" s="201">
        <f>IF(A145&gt;MAX(intermediates!B$31,intermediates!$B$32),DH144,DH144+intermediates!$B$61*DH$73)</f>
        <v>28534082329375</v>
      </c>
      <c r="DI145" s="201">
        <f>IF(A145&gt;MAX(intermediates!B$31,intermediates!$B$32),DI144,DI144+intermediates!$B$62*DI$73)</f>
        <v>38669431049000</v>
      </c>
      <c r="DJ145" s="221"/>
      <c r="EE145" s="218"/>
      <c r="EF145" s="212">
        <f>$EF$69+intermediates!$B$90*(A145-2013)*intermediates!$B$92+intermediates!$B$91*intermediates!$B$92*(A145-2013)^2</f>
        <v>3159.5223285492184</v>
      </c>
      <c r="EH145" s="212">
        <f>IF(A145&lt;intermediates!$B$29,data!EH144,IF(A145&lt;intermediates!$B$31,data!$EH$69+(intermediates!$B$93-data!$EH$69)*(data!A145-intermediates!$B$29)/(intermediates!$B$31-intermediates!$B$29),intermediates!$B$93))</f>
        <v>2.522212345090466E-2</v>
      </c>
      <c r="EI145" s="212">
        <f t="shared" si="265"/>
        <v>2.522212345090466E-2</v>
      </c>
      <c r="EN145" s="218"/>
      <c r="EO145" s="212">
        <f t="shared" si="266"/>
        <v>3079.8324663326603</v>
      </c>
      <c r="EQ145" s="212">
        <f t="shared" si="267"/>
        <v>79.68986221655814</v>
      </c>
      <c r="ET145" s="214">
        <f>IF(A145&lt;intermediates!$B$29,ET144+intermediates!$B$63,ET144+intermediates!$B$63*intermediates!$B$67)</f>
        <v>1543.8963564838821</v>
      </c>
      <c r="EU145" s="215">
        <f t="shared" si="268"/>
        <v>1543.8963564838821</v>
      </c>
      <c r="EV145" s="216">
        <f>data!EU145*conversions!$C$13</f>
        <v>1.7955514625907547</v>
      </c>
      <c r="EX145" s="212">
        <f>intermediates!$B$64+intermediates!$B$64*(EXP(-(data!A145-intermediates!$B$66)/intermediates!$B$65)-1)</f>
        <v>5.2765785838205549E-3</v>
      </c>
      <c r="EY145" s="217">
        <f>IF(A145&lt;intermediates!$B$29,data!EX145,data!EY144+(data!EX145-data!EX144)*intermediates!$B$68)</f>
        <v>5.2765785838205549E-3</v>
      </c>
      <c r="EZ145" s="217">
        <f t="shared" si="269"/>
        <v>5.2765785838205549E-3</v>
      </c>
      <c r="FB145" s="212">
        <f>intermediates!$B$94+intermediates!$B$95+(intermediates!$B$95*(EXP(-(data!A145-intermediates!$B$97)/intermediates!$B$96)-1))</f>
        <v>1.5430674275849541</v>
      </c>
      <c r="FC145" s="217">
        <f>IF(A145&lt;intermediates!$B$29,data!FB145,data!FC144+(data!FB145-data!FB144)*intermediates!$B$68)</f>
        <v>1.5430674275849541</v>
      </c>
      <c r="FD145" s="212">
        <f t="shared" si="270"/>
        <v>1.5430674275849541</v>
      </c>
      <c r="FF145" s="184">
        <f>intermediates!$B$98+intermediates!$B$99*EXP(-(A145-intermediates!$B$101)/intermediates!$B$100)</f>
        <v>0.9008694586951006</v>
      </c>
      <c r="FG145" s="184">
        <f t="shared" si="240"/>
        <v>0.9008694586951006</v>
      </c>
      <c r="FI145" s="184">
        <f>intermediates!$B$102+intermediates!$B$103*EXP(-(A145-intermediates!$B$105)/intermediates!$B$104)</f>
        <v>1.437591253457245E-2</v>
      </c>
      <c r="FJ145" s="184">
        <f t="shared" si="271"/>
        <v>1.437591253457245E-2</v>
      </c>
      <c r="FL145" s="184">
        <f>intermediates!$B$106</f>
        <v>4.5616870531049965E-2</v>
      </c>
      <c r="FM145" s="184">
        <f t="shared" si="272"/>
        <v>4.5616870531049965E-2</v>
      </c>
      <c r="FN145" s="218">
        <f>IF(A145&lt;intermediates!$B$29,0,IF(A145&lt;intermediates!$B$31,(data!A145-intermediates!$B$29)/(intermediates!$B$31-intermediates!$B$29),1))</f>
        <v>1</v>
      </c>
      <c r="FO145" s="218">
        <f t="shared" ref="FO145:FO156" si="312">(EP145+EQ145)*L145*365</f>
        <v>352891464024383.56</v>
      </c>
      <c r="FP145" s="218">
        <f t="shared" ref="FP145:FP156" si="313">FO145/FG145</f>
        <v>391723196538977.94</v>
      </c>
      <c r="FQ145" s="218">
        <f t="shared" ref="FQ145:FQ156" si="314">FP145*EZ145</f>
        <v>2066958229643.301</v>
      </c>
      <c r="FR145" s="218">
        <f t="shared" ref="FR145:FR156" si="315">FP145*FD145</f>
        <v>604455305208756.13</v>
      </c>
      <c r="FS145" s="218">
        <f t="shared" ref="FS145:FS156" si="316">FR145/(EU145)</f>
        <v>391512877577.71613</v>
      </c>
      <c r="FT145" s="218">
        <f>intermediates!$B$69*data!EU145/intermediates!$B$71</f>
        <v>3.9297315581822976</v>
      </c>
      <c r="FU145" s="218">
        <f>BC145*conversions!$C$1*1000000</f>
        <v>26594128500872.469</v>
      </c>
      <c r="FV145" s="218">
        <f t="shared" si="184"/>
        <v>6767416070825.3613</v>
      </c>
      <c r="FX145" s="221"/>
      <c r="FY145" s="221"/>
      <c r="FZ145" s="221"/>
      <c r="GA145" s="218">
        <f t="shared" si="241"/>
        <v>1516.5447365917239</v>
      </c>
      <c r="GB145" s="218">
        <f>GA145*1000000*10000*intermediates!$B$71/(intermediates!$B$72*data!EU145)</f>
        <v>4823945077857.9502</v>
      </c>
      <c r="GC145" s="218">
        <f t="shared" ref="GC145:GC156" si="317">(EN145+EO145)*L145*365/EU145</f>
        <v>8833789130088.9297</v>
      </c>
      <c r="GD145" s="218">
        <f t="shared" si="283"/>
        <v>20816663156349.957</v>
      </c>
      <c r="GE145" s="218">
        <f t="shared" ref="GE145:GE156" si="318">GD145/(1-(FK145+FL145+FJ145))</f>
        <v>22145216314656.422</v>
      </c>
      <c r="GF145" s="218">
        <f t="shared" ref="GF145:GF156" si="319">FJ145*GE145</f>
        <v>318357692798.68756</v>
      </c>
      <c r="GG145" s="218">
        <f t="shared" si="273"/>
        <v>1010195465507.7775</v>
      </c>
      <c r="GH145" s="218">
        <f t="shared" si="242"/>
        <v>9062361121040.4922</v>
      </c>
      <c r="GI145" s="218">
        <f t="shared" si="274"/>
        <v>162940886626.1543</v>
      </c>
      <c r="GJ145" s="218">
        <f>ET145*intermediates!$B$73/intermediates!$B$71</f>
        <v>5.8945973372734466</v>
      </c>
      <c r="GK145" s="218">
        <f>CL145*conversions!$C$1*1000000/data!GJ145</f>
        <v>4241513995144.2476</v>
      </c>
      <c r="GL145" s="218">
        <f>MIN(1,FN145)*(intermediates!$B$75-data!$GL$69)+data!$GL$69</f>
        <v>1</v>
      </c>
      <c r="GM145" s="218">
        <f>GL145*intermediates!$B$74*(FS145+GC145+GK145+GG145+GF145+GB145+FV145)</f>
        <v>3958009546470.1006</v>
      </c>
      <c r="GN145" s="218">
        <f>MIN(1,FN145)*intermediates!$B$76</f>
        <v>0.12</v>
      </c>
      <c r="GO145" s="218">
        <f t="shared" si="275"/>
        <v>3641368782752.4922</v>
      </c>
      <c r="GP145" s="218">
        <f>IF(A145&gt;intermediates!$B$29,MIN(1,(A145-intermediates!$B$29)/(intermediates!$B$31-intermediates!$B$29))*intermediates!$B$77,0)</f>
        <v>0.15</v>
      </c>
      <c r="GQ145" s="218">
        <f>IF(AND(A145&gt;intermediates!$B$29+intermediates!$B$30,data!GP145&lt;intermediates!$B$77),1,0)</f>
        <v>0</v>
      </c>
      <c r="GR145" s="218">
        <f t="shared" si="243"/>
        <v>7205893461843.75</v>
      </c>
      <c r="GS145" s="218">
        <f t="shared" si="244"/>
        <v>43258960330510.313</v>
      </c>
      <c r="GT145" s="218">
        <f t="shared" si="238"/>
        <v>86708720794625</v>
      </c>
      <c r="GU145" s="218">
        <f t="shared" si="245"/>
        <v>45875324510843.75</v>
      </c>
      <c r="GV145" s="218">
        <f t="shared" si="246"/>
        <v>30344739856270.77</v>
      </c>
      <c r="GW145" s="218">
        <f t="shared" si="247"/>
        <v>4780329415114.6875</v>
      </c>
      <c r="GX145" s="218">
        <f>MIN(intermediates!$B$88,FN145*intermediates!$B$87*GO145)</f>
        <v>1820684391376.2461</v>
      </c>
      <c r="GY145" s="218">
        <f t="shared" si="248"/>
        <v>1820684391376.2461</v>
      </c>
      <c r="GZ145" s="218">
        <f>MIN(intermediates!$B$88-GX145,intermediates!$B$87*data!GW145*FN145)</f>
        <v>2390164707557.3438</v>
      </c>
      <c r="HA145" s="218">
        <f t="shared" si="276"/>
        <v>2390164707557.3438</v>
      </c>
      <c r="HB145" s="218">
        <f t="shared" si="277"/>
        <v>4210849098933.5898</v>
      </c>
      <c r="HC145" s="218">
        <f t="shared" si="249"/>
        <v>6277807328576.8906</v>
      </c>
      <c r="HD145" s="218">
        <f>HC145*intermediates!$B$79/(10000*1000000000)</f>
        <v>416.68446699673979</v>
      </c>
      <c r="HE145" s="218">
        <f>(GV145*intermediates!$B$80+GV145*GL145*intermediates!$B$82)/(10000*1000000000)</f>
        <v>1131.3473179805326</v>
      </c>
      <c r="HF145" s="218">
        <f>GU145*intermediates!$B$78/(10000*1000000000)</f>
        <v>4619.6154707550731</v>
      </c>
      <c r="HG145" s="218">
        <f>HB145*intermediates!$B$81/(10000*1000000000)</f>
        <v>1058.4538062376819</v>
      </c>
      <c r="HH145" s="218">
        <f t="shared" si="250"/>
        <v>0</v>
      </c>
      <c r="HI145" s="218">
        <f t="shared" si="251"/>
        <v>15.749534824353304</v>
      </c>
      <c r="HJ145" s="218">
        <f t="shared" si="252"/>
        <v>-1.3974283959636296</v>
      </c>
      <c r="HK145" s="218">
        <f ca="1">SUM(HJ145:INDIRECT(ADDRESS(MAX(CELL("row",HJ145)-intermediates!$B$83,69),CELL("col",HJ145))))/intermediates!$B$83+SUM(HH145:INDIRECT(ADDRESS(MAX(CELL("row",HH145)-intermediates!$B$84,69),CELL("col",HH145))))/intermediates!$B$84+SUM(HI145:INDIRECT(ADDRESS(MAX(CELL("row",HI145)-intermediates!$B$85,69),CELL("col",HI145))))/intermediates!$B$85</f>
        <v>18.436027298706765</v>
      </c>
      <c r="HL145" s="218">
        <f t="shared" ca="1" si="278"/>
        <v>-301.99756655842071</v>
      </c>
      <c r="HM145" s="188">
        <f t="shared" si="253"/>
        <v>2089</v>
      </c>
      <c r="HQ145" s="185">
        <f t="shared" si="254"/>
        <v>856.46288802362108</v>
      </c>
      <c r="HR145" s="185">
        <f t="shared" si="255"/>
        <v>557.79891515386669</v>
      </c>
      <c r="HS145" s="185">
        <f t="shared" si="256"/>
        <v>397.60985626273572</v>
      </c>
      <c r="HT145" s="185">
        <f t="shared" si="257"/>
        <v>349.60343509850952</v>
      </c>
      <c r="HU145" s="185">
        <f t="shared" si="258"/>
        <v>326.23580522963289</v>
      </c>
      <c r="HV145" s="185">
        <f t="shared" si="259"/>
        <v>300.13694081126226</v>
      </c>
      <c r="HW145" s="185">
        <f t="shared" si="260"/>
        <v>593.94006717848663</v>
      </c>
      <c r="HX145" s="185">
        <f t="shared" si="261"/>
        <v>13.430273658819566</v>
      </c>
      <c r="HY145" s="185">
        <f t="shared" si="262"/>
        <v>170.36739666913601</v>
      </c>
      <c r="HZ145" s="185">
        <f t="shared" si="279"/>
        <v>3381.7879077581151</v>
      </c>
      <c r="IA145" s="185">
        <f t="shared" si="280"/>
        <v>3565.5855780860707</v>
      </c>
      <c r="IB145" s="185">
        <f t="shared" si="263"/>
        <v>2613.2301845738384</v>
      </c>
      <c r="IC145" s="185">
        <f t="shared" si="311"/>
        <v>3959.6004478565774</v>
      </c>
      <c r="ID145" s="185">
        <f t="shared" si="264"/>
        <v>3187.2972583638971</v>
      </c>
      <c r="IE145" s="184">
        <f t="shared" si="281"/>
        <v>-0.18128605312297255</v>
      </c>
      <c r="IF145" s="184">
        <f t="shared" si="282"/>
        <v>-0.12362037106409157</v>
      </c>
    </row>
    <row r="146" spans="1:240" x14ac:dyDescent="0.3">
      <c r="A146" s="211">
        <v>2090</v>
      </c>
      <c r="E146" s="207">
        <v>7869840.2280000001</v>
      </c>
      <c r="F146" s="207">
        <v>10809892.302999999</v>
      </c>
      <c r="G146" s="207">
        <v>14515851.231000001</v>
      </c>
      <c r="I146" s="207">
        <f t="shared" si="284"/>
        <v>7869840228</v>
      </c>
      <c r="J146" s="207">
        <f t="shared" si="284"/>
        <v>10809892303</v>
      </c>
      <c r="K146" s="207">
        <f t="shared" si="284"/>
        <v>14515851231</v>
      </c>
      <c r="L146" s="187">
        <f>IF(intermediates!$B$4&gt;=2,(intermediates!$B$4-2)*K146+(1-(intermediates!$B$4-2))*J146,(intermediates!$B$4-1)*J146+(1-(intermediates!$B$4-1))*I146)</f>
        <v>12178352685.480715</v>
      </c>
      <c r="AJ146" s="184">
        <f>IF(intermediates!$B$46=0,$AJ$74+(intermediates!$B$15-$AJ$74)*MIN(1,(data!A146-data!$A$74)/(intermediates!$B$32-data!$A$74)),IF(A146&lt;2021,$AJ$74+(intermediates!$B$15-$AJ$74)*MIN(1,(data!A146-data!$A$74)/(intermediates!$B$32-data!$A$74)),intermediates!$B$47+(intermediates!$B$15-intermediates!$B$47)*MIN(1,(data!A146-$A$77)/(intermediates!$B$32-$A$77))))</f>
        <v>27400</v>
      </c>
      <c r="AK146" s="192">
        <f t="shared" si="285"/>
        <v>27400</v>
      </c>
      <c r="AL146" s="192">
        <f t="shared" si="234"/>
        <v>333686863582171.56</v>
      </c>
      <c r="AM146" s="192">
        <f>data!AL146/(1000000*conversions!$C$1)</f>
        <v>28601.731164186134</v>
      </c>
      <c r="AN146" s="192">
        <f>IF(intermediates!$B$13=1,($AJ$74+(27400-$AJ$74)*MIN(1,(data!A146-data!$A$74)/(intermediates!$B$32-data!$A$74)))*L146/(1000000*conversions!$C$1),data!AM146)</f>
        <v>28601.731164186134</v>
      </c>
      <c r="AV146" s="214">
        <f>IF(A146&lt;intermediates!$B$29,0,IF(A146&lt;intermediates!$B$31,(data!A146-intermediates!$B$29)*intermediates!$B$26/(intermediates!$B$31-intermediates!$B$29),intermediates!$B$26))</f>
        <v>10</v>
      </c>
      <c r="AW146" s="212">
        <f>MIN(AW145+intermediates!$B$16,intermediates!$B$17*data!$AW$74)</f>
        <v>1897.5897864678325</v>
      </c>
      <c r="AX146" s="212">
        <f>AV146*1000/conversions!$C$16/intermediates!$B$40</f>
        <v>8187.0584968062822</v>
      </c>
      <c r="AY146" s="212">
        <f>AX146*(1-intermediates!$B$39)*intermediates!$B$28/(conversions!$C$2)</f>
        <v>2143.0300372958864</v>
      </c>
      <c r="AZ146" s="213">
        <f>IF(A146&lt;intermediates!$B$29,0,MIN(intermediates!$B$25,intermediates!$B$25*(A146-intermediates!$B$29)/(intermediates!$B$31-intermediates!$B$29)))</f>
        <v>0</v>
      </c>
      <c r="BA146" s="212">
        <f>IF(A146&lt;intermediates!$B$29,data!$BA$74,IF(intermediates!$B$23&gt;data!$BA$74,MIN(intermediates!$B$23,data!$BA$74+(intermediates!$B$23-data!$BA$74)*((data!A146-intermediates!$B$29)/(intermediates!$B$31-intermediates!$B$29))),MAX(intermediates!$B$23,data!$BA$74+(intermediates!$B$23-data!$BA$74)*((data!A146-intermediates!$B$29)/(intermediates!$B$31-intermediates!$B$29)))))</f>
        <v>0.08</v>
      </c>
      <c r="BB146" s="212">
        <f t="shared" si="286"/>
        <v>2288.1384931348907</v>
      </c>
      <c r="BC146" s="212">
        <f t="shared" si="303"/>
        <v>2288.1384931348907</v>
      </c>
      <c r="BD146" s="212">
        <f t="shared" si="304"/>
        <v>0</v>
      </c>
      <c r="BE146" s="214">
        <f>MAX(0,MIN(1,(data!A146-intermediates!$B$29)/(intermediates!$B$31-intermediates!$B$29)))*((intermediates!$B$38*L146)-$BE$69*1000000000)/1000000000+$BE$69</f>
        <v>1522.2940856850894</v>
      </c>
      <c r="BF146" s="214">
        <f t="shared" si="237"/>
        <v>1522.2940856850894</v>
      </c>
      <c r="BG146" s="214">
        <f t="shared" si="305"/>
        <v>0</v>
      </c>
      <c r="BH146" s="214">
        <f>BD146*conversions!$C$2/conversions!$C$17+BG146*conversions!$C$6/conversions!$C$10</f>
        <v>0</v>
      </c>
      <c r="BI146" s="214">
        <f>BH146*intermediates!$B$41*conversions!$C$11/(conversions!$C$2*conversions!$C$6*intermediates!$B$42)</f>
        <v>0</v>
      </c>
      <c r="BJ146" s="214">
        <f>BH146*intermediates!$B$43/(conversions!$C$1*intermediates!$B$42)</f>
        <v>0</v>
      </c>
      <c r="BK146" s="214">
        <f t="shared" si="287"/>
        <v>0</v>
      </c>
      <c r="BL146" s="214">
        <f t="shared" si="288"/>
        <v>28601.731164186134</v>
      </c>
      <c r="BM146" s="214">
        <f t="shared" si="289"/>
        <v>22272.972847287525</v>
      </c>
      <c r="BN146" s="214">
        <f>IF(A146&lt;intermediates!$B$29,MIN(BO145+intermediates!$B$33*AN145),MIN(BO145*intermediates!$B$35,BO145+intermediates!$B$37*AN145))</f>
        <v>23028.014246001621</v>
      </c>
      <c r="BO146" s="212">
        <f>IF(A146&lt;intermediates!$B$29,MIN(BM146,BO145+intermediates!$B$33*AN145),MIN(BM146,BO145*intermediates!$B$35,BO145+intermediates!$B$37*AN145))</f>
        <v>22272.972847287525</v>
      </c>
      <c r="BP146" s="214">
        <f t="shared" si="290"/>
        <v>755.04139871409643</v>
      </c>
      <c r="BQ146" s="214">
        <f t="shared" si="291"/>
        <v>0</v>
      </c>
      <c r="BR146" s="212" t="str">
        <f t="shared" si="235"/>
        <v/>
      </c>
      <c r="BS146" s="212">
        <f>BP146*conversions!$C$1*intermediates!$B$42/intermediates!$B$43</f>
        <v>1685.1591480100935</v>
      </c>
      <c r="BT146" s="214">
        <f>MIN(BT145+BS146,intermediates!$B$27*1000)</f>
        <v>0</v>
      </c>
      <c r="BU146" s="219" t="str">
        <f>IF(AND(BT146=intermediates!$B$27*1000,BT145&lt;&gt;intermediates!$B$27*1000),A146,"")</f>
        <v/>
      </c>
      <c r="BV146" s="212">
        <f>BT146*intermediates!$B$43/(conversions!$C$1*intermediates!$B$42)</f>
        <v>0</v>
      </c>
      <c r="BW146" s="214">
        <f t="shared" si="292"/>
        <v>28601.731164186134</v>
      </c>
      <c r="BX146" s="214">
        <f t="shared" si="293"/>
        <v>22272.972847287525</v>
      </c>
      <c r="BY146" s="227">
        <f>IF(OR(BQ146&gt;0,BT146&lt;&gt;intermediates!$B$27*1000),MAX(0,(BX146-BX145)/AM145),0.000000000001)</f>
        <v>9.9999999999999998E-13</v>
      </c>
      <c r="BZ146" s="322">
        <f>BH146*intermediates!$B$49*1000000</f>
        <v>0</v>
      </c>
      <c r="CA146" s="322">
        <f>BI146*conversions!$C$1*1000000*intermediates!$B$50</f>
        <v>0</v>
      </c>
      <c r="CB146" s="322">
        <f>BT146*1000000*intermediates!$B$49</f>
        <v>0</v>
      </c>
      <c r="CC146" s="214">
        <f>BW146*conversions!$C$1*1000000/L146</f>
        <v>27399.999999999996</v>
      </c>
      <c r="CD146" s="173">
        <f t="shared" si="239"/>
        <v>2090</v>
      </c>
      <c r="CE146" s="173"/>
      <c r="CF146" s="173"/>
      <c r="CG146" s="173"/>
      <c r="CH146" s="173"/>
      <c r="CI146" s="173">
        <f t="shared" si="294"/>
        <v>0</v>
      </c>
      <c r="CJ146" s="173">
        <f t="shared" si="295"/>
        <v>1897.5897864678325</v>
      </c>
      <c r="CK146" s="173">
        <f t="shared" si="296"/>
        <v>2288.1384931348907</v>
      </c>
      <c r="CL146" s="173">
        <f t="shared" si="297"/>
        <v>2143.0300372958864</v>
      </c>
      <c r="CM146" s="173"/>
      <c r="CN146" s="173"/>
      <c r="CO146" s="329">
        <f t="shared" si="306"/>
        <v>22272.972847287525</v>
      </c>
      <c r="CP146" s="174">
        <f t="shared" si="298"/>
        <v>0</v>
      </c>
      <c r="CQ146" s="228">
        <f t="shared" si="299"/>
        <v>10</v>
      </c>
      <c r="CR146" s="228">
        <f t="shared" si="307"/>
        <v>545</v>
      </c>
      <c r="CS146" s="214">
        <f t="shared" ca="1" si="300"/>
        <v>-28.738828775835763</v>
      </c>
      <c r="CT146" s="190">
        <f t="shared" ca="1" si="301"/>
        <v>-2.3598289126655687</v>
      </c>
      <c r="CU146" s="190">
        <f t="shared" ca="1" si="236"/>
        <v>-28.738828775835763</v>
      </c>
      <c r="CV146" s="198">
        <f t="shared" si="308"/>
        <v>3203.9310777670239</v>
      </c>
      <c r="CW146" s="198">
        <f t="shared" ca="1" si="309"/>
        <v>3796.8898451957907</v>
      </c>
      <c r="CX146" s="198">
        <f t="shared" ca="1" si="302"/>
        <v>2942.1898155496119</v>
      </c>
      <c r="CY146" s="198">
        <f t="shared" ca="1" si="310"/>
        <v>-854.70002964617959</v>
      </c>
      <c r="CZ146" s="199">
        <f ca="1">IF(CX146&lt;intermediates!$B$55,intermediates!$B$56+(CX146-intermediates!$B$55)*intermediates!$B$53,intermediates!$B$56+(data!CX146-intermediates!$B$55)*intermediates!$B$58)</f>
        <v>1.5690536883693658</v>
      </c>
      <c r="DG146" s="201">
        <f>IF(A146&gt;MAX(intermediates!B$31,intermediates!$B$32),DG145,DG145+intermediates!$B$60*DG$73)</f>
        <v>19505207416250</v>
      </c>
      <c r="DH146" s="201">
        <f>IF(A146&gt;MAX(intermediates!B$31,intermediates!$B$32),DH145,DH145+intermediates!$B$61*DH$73)</f>
        <v>28534082329375</v>
      </c>
      <c r="DI146" s="201">
        <f>IF(A146&gt;MAX(intermediates!B$31,intermediates!$B$32),DI145,DI145+intermediates!$B$62*DI$73)</f>
        <v>38669431049000</v>
      </c>
      <c r="DJ146" s="221"/>
      <c r="EE146" s="218"/>
      <c r="EF146" s="212">
        <f>$EF$69+intermediates!$B$90*(A146-2013)*intermediates!$B$92+intermediates!$B$91*intermediates!$B$92*(A146-2013)^2</f>
        <v>3161.2664185492185</v>
      </c>
      <c r="EH146" s="212">
        <f>IF(A146&lt;intermediates!$B$29,data!EH145,IF(A146&lt;intermediates!$B$31,data!$EH$69+(intermediates!$B$93-data!$EH$69)*(data!A146-intermediates!$B$29)/(intermediates!$B$31-intermediates!$B$29),intermediates!$B$93))</f>
        <v>2.522212345090466E-2</v>
      </c>
      <c r="EI146" s="212">
        <f t="shared" si="265"/>
        <v>2.522212345090466E-2</v>
      </c>
      <c r="EN146" s="218"/>
      <c r="EO146" s="212">
        <f t="shared" si="266"/>
        <v>3081.532566679371</v>
      </c>
      <c r="EQ146" s="212">
        <f t="shared" si="267"/>
        <v>79.733851869847513</v>
      </c>
      <c r="ET146" s="214">
        <f>IF(A146&lt;intermediates!$B$29,ET145+intermediates!$B$63,ET145+intermediates!$B$63*intermediates!$B$67)</f>
        <v>1553.8719458753249</v>
      </c>
      <c r="EU146" s="215">
        <f t="shared" si="268"/>
        <v>1553.8719458753249</v>
      </c>
      <c r="EV146" s="216">
        <f>data!EU146*conversions!$C$13</f>
        <v>1.8071530730530028</v>
      </c>
      <c r="EX146" s="212">
        <f>intermediates!$B$64+intermediates!$B$64*(EXP(-(data!A146-intermediates!$B$66)/intermediates!$B$65)-1)</f>
        <v>5.1784844208973384E-3</v>
      </c>
      <c r="EY146" s="217">
        <f>IF(A146&lt;intermediates!$B$29,data!EX146,data!EY145+(data!EX146-data!EX145)*intermediates!$B$68)</f>
        <v>5.1784844208973384E-3</v>
      </c>
      <c r="EZ146" s="217">
        <f t="shared" si="269"/>
        <v>5.1784844208973384E-3</v>
      </c>
      <c r="FB146" s="212">
        <f>intermediates!$B$94+intermediates!$B$95+(intermediates!$B$95*(EXP(-(data!A146-intermediates!$B$97)/intermediates!$B$96)-1))</f>
        <v>1.5418929590882375</v>
      </c>
      <c r="FC146" s="217">
        <f>IF(A146&lt;intermediates!$B$29,data!FB146,data!FC145+(data!FB146-data!FB145)*intermediates!$B$68)</f>
        <v>1.5418929590882375</v>
      </c>
      <c r="FD146" s="212">
        <f t="shared" si="270"/>
        <v>1.5418929590882375</v>
      </c>
      <c r="FF146" s="184">
        <f>intermediates!$B$98+intermediates!$B$99*EXP(-(A146-intermediates!$B$101)/intermediates!$B$100)</f>
        <v>0.9010692417906061</v>
      </c>
      <c r="FG146" s="184">
        <f t="shared" si="240"/>
        <v>0.9010692417906061</v>
      </c>
      <c r="FI146" s="184">
        <f>intermediates!$B$102+intermediates!$B$103*EXP(-(A146-intermediates!$B$105)/intermediates!$B$104)</f>
        <v>1.4329362019961499E-2</v>
      </c>
      <c r="FJ146" s="184">
        <f t="shared" si="271"/>
        <v>1.4329362019961499E-2</v>
      </c>
      <c r="FL146" s="184">
        <f>intermediates!$B$106</f>
        <v>4.5616870531049965E-2</v>
      </c>
      <c r="FM146" s="184">
        <f t="shared" si="272"/>
        <v>4.5616870531049965E-2</v>
      </c>
      <c r="FN146" s="218">
        <f>IF(A146&lt;intermediates!$B$29,0,IF(A146&lt;intermediates!$B$31,(data!A146-intermediates!$B$29)/(intermediates!$B$31-intermediates!$B$29),1))</f>
        <v>1</v>
      </c>
      <c r="FO146" s="218">
        <f t="shared" si="312"/>
        <v>354424843700650.88</v>
      </c>
      <c r="FP146" s="218">
        <f t="shared" si="313"/>
        <v>393338077988698.5</v>
      </c>
      <c r="FQ146" s="218">
        <f t="shared" si="314"/>
        <v>2036895109010.1775</v>
      </c>
      <c r="FR146" s="218">
        <f t="shared" si="315"/>
        <v>606485212992074.25</v>
      </c>
      <c r="FS146" s="218">
        <f t="shared" si="316"/>
        <v>390305787167.31378</v>
      </c>
      <c r="FT146" s="218">
        <f>intermediates!$B$69*data!EU146/intermediates!$B$71</f>
        <v>3.9551227628952228</v>
      </c>
      <c r="FU146" s="218">
        <f>BC146*conversions!$C$1*1000000</f>
        <v>26694949086573.723</v>
      </c>
      <c r="FV146" s="218">
        <f t="shared" ref="FV146:FV156" si="320">FU146/FT146</f>
        <v>6749461568427.4053</v>
      </c>
      <c r="FX146" s="221"/>
      <c r="FY146" s="221"/>
      <c r="FZ146" s="221"/>
      <c r="GA146" s="218">
        <f t="shared" si="241"/>
        <v>1522.2940856850894</v>
      </c>
      <c r="GB146" s="218">
        <f>GA146*1000000*10000*intermediates!$B$71/(intermediates!$B$72*data!EU146)</f>
        <v>4811146761253.5684</v>
      </c>
      <c r="GC146" s="218">
        <f t="shared" si="317"/>
        <v>8815215781183.0898</v>
      </c>
      <c r="GD146" s="218">
        <f t="shared" si="283"/>
        <v>20766129898031.375</v>
      </c>
      <c r="GE146" s="218">
        <f t="shared" si="318"/>
        <v>22090363995225.664</v>
      </c>
      <c r="GF146" s="218">
        <f t="shared" si="319"/>
        <v>316540822840.31158</v>
      </c>
      <c r="GG146" s="218">
        <f t="shared" si="273"/>
        <v>1007693274353.9768</v>
      </c>
      <c r="GH146" s="218">
        <f t="shared" si="242"/>
        <v>9043307191573.4082</v>
      </c>
      <c r="GI146" s="218">
        <f t="shared" si="274"/>
        <v>162214376776.99609</v>
      </c>
      <c r="GJ146" s="218">
        <f>ET146*intermediates!$B$73/intermediates!$B$71</f>
        <v>5.9326841443428338</v>
      </c>
      <c r="GK146" s="218">
        <f>CL146*conversions!$C$1*1000000/data!GJ146</f>
        <v>4214284208207.2153</v>
      </c>
      <c r="GL146" s="218">
        <f>MIN(1,FN146)*(intermediates!$B$75-data!$GL$69)+data!$GL$69</f>
        <v>1</v>
      </c>
      <c r="GM146" s="218">
        <f>GL146*intermediates!$B$74*(FS146+GC146+GK146+GG146+GF146+GB146+FV146)</f>
        <v>3945697230514.9321</v>
      </c>
      <c r="GN146" s="218">
        <f>MIN(1,FN146)*intermediates!$B$76</f>
        <v>0.12</v>
      </c>
      <c r="GO146" s="218">
        <f t="shared" si="275"/>
        <v>3630041452073.7373</v>
      </c>
      <c r="GP146" s="218">
        <f>IF(A146&gt;intermediates!$B$29,MIN(1,(A146-intermediates!$B$29)/(intermediates!$B$31-intermediates!$B$29))*intermediates!$B$77,0)</f>
        <v>0.15</v>
      </c>
      <c r="GQ146" s="218">
        <f>IF(AND(A146&gt;intermediates!$B$29+intermediates!$B$30,data!GP146&lt;intermediates!$B$77),1,0)</f>
        <v>0</v>
      </c>
      <c r="GR146" s="218">
        <f t="shared" si="243"/>
        <v>7205893461843.75</v>
      </c>
      <c r="GS146" s="218">
        <f t="shared" si="244"/>
        <v>43123175456875.477</v>
      </c>
      <c r="GT146" s="218">
        <f t="shared" si="238"/>
        <v>86708720794625</v>
      </c>
      <c r="GU146" s="218">
        <f t="shared" si="245"/>
        <v>45875324510843.75</v>
      </c>
      <c r="GV146" s="218">
        <f t="shared" si="246"/>
        <v>30250345433947.813</v>
      </c>
      <c r="GW146" s="218">
        <f t="shared" si="247"/>
        <v>4916114288749.5234</v>
      </c>
      <c r="GX146" s="218">
        <f>MIN(intermediates!$B$88,FN146*intermediates!$B$87*GO146)</f>
        <v>1815020726036.8687</v>
      </c>
      <c r="GY146" s="218">
        <f t="shared" si="248"/>
        <v>1815020726036.8687</v>
      </c>
      <c r="GZ146" s="218">
        <f>MIN(intermediates!$B$88-GX146,intermediates!$B$87*data!GW146*FN146)</f>
        <v>2458057144374.7617</v>
      </c>
      <c r="HA146" s="218">
        <f t="shared" si="276"/>
        <v>2458057144374.7617</v>
      </c>
      <c r="HB146" s="218">
        <f t="shared" si="277"/>
        <v>4273077870411.6304</v>
      </c>
      <c r="HC146" s="218">
        <f t="shared" si="249"/>
        <v>6309972979421.8076</v>
      </c>
      <c r="HD146" s="218">
        <f>HC146*intermediates!$B$79/(10000*1000000000)</f>
        <v>418.81943648153214</v>
      </c>
      <c r="HE146" s="218">
        <f>(GV146*intermediates!$B$80+GV146*GL146*intermediates!$B$82)/(10000*1000000000)</f>
        <v>1127.8279971020795</v>
      </c>
      <c r="HF146" s="218">
        <f>GU146*intermediates!$B$78/(10000*1000000000)</f>
        <v>4619.6154707550731</v>
      </c>
      <c r="HG146" s="218">
        <f>HB146*intermediates!$B$81/(10000*1000000000)</f>
        <v>1074.0958486098741</v>
      </c>
      <c r="HH146" s="218">
        <f t="shared" si="250"/>
        <v>0</v>
      </c>
      <c r="HI146" s="218">
        <f t="shared" si="251"/>
        <v>15.642042372192236</v>
      </c>
      <c r="HJ146" s="218">
        <f t="shared" si="252"/>
        <v>-1.3843513936607224</v>
      </c>
      <c r="HK146" s="218">
        <f ca="1">SUM(HJ146:INDIRECT(ADDRESS(MAX(CELL("row",HJ146)-intermediates!$B$83,69),CELL("col",HJ146))))/intermediates!$B$83+SUM(HH146:INDIRECT(ADDRESS(MAX(CELL("row",HH146)-intermediates!$B$84,69),CELL("col",HH146))))/intermediates!$B$84+SUM(HI146:INDIRECT(ADDRESS(MAX(CELL("row",HI146)-intermediates!$B$85,69),CELL("col",HI146))))/intermediates!$B$85</f>
        <v>18.738828775835763</v>
      </c>
      <c r="HL146" s="218">
        <f t="shared" ca="1" si="278"/>
        <v>-283.25873778258494</v>
      </c>
      <c r="HM146" s="188">
        <f t="shared" si="253"/>
        <v>2090</v>
      </c>
      <c r="HQ146" s="185">
        <f t="shared" si="254"/>
        <v>851.30900348518367</v>
      </c>
      <c r="HR146" s="185">
        <f t="shared" si="255"/>
        <v>554.2179425033612</v>
      </c>
      <c r="HS146" s="185">
        <f t="shared" si="256"/>
        <v>395.05726969046623</v>
      </c>
      <c r="HT146" s="185">
        <f t="shared" si="257"/>
        <v>346.0471475121239</v>
      </c>
      <c r="HU146" s="185">
        <f t="shared" si="258"/>
        <v>323.99268870075298</v>
      </c>
      <c r="HV146" s="185">
        <f t="shared" si="259"/>
        <v>298.0732736046927</v>
      </c>
      <c r="HW146" s="185">
        <f t="shared" si="260"/>
        <v>591.69689431270672</v>
      </c>
      <c r="HX146" s="185">
        <f t="shared" si="261"/>
        <v>13.319894813884922</v>
      </c>
      <c r="HY146" s="185">
        <f t="shared" si="262"/>
        <v>167.25538844334883</v>
      </c>
      <c r="HZ146" s="185">
        <f t="shared" si="279"/>
        <v>3360.3942198092868</v>
      </c>
      <c r="IA146" s="185">
        <f t="shared" si="280"/>
        <v>3540.9695030665202</v>
      </c>
      <c r="IB146" s="185">
        <f t="shared" si="263"/>
        <v>2613.2301845738384</v>
      </c>
      <c r="IC146" s="185">
        <f t="shared" si="311"/>
        <v>3944.6459620847113</v>
      </c>
      <c r="ID146" s="185">
        <f t="shared" si="264"/>
        <v>3175.2595812980931</v>
      </c>
      <c r="IE146" s="184">
        <f t="shared" si="281"/>
        <v>-0.18400125322559416</v>
      </c>
      <c r="IF146" s="184">
        <f t="shared" si="282"/>
        <v>-0.12713179778932032</v>
      </c>
    </row>
    <row r="147" spans="1:240" x14ac:dyDescent="0.3">
      <c r="A147" s="211">
        <v>2091</v>
      </c>
      <c r="E147" s="207">
        <v>7818414.8270000098</v>
      </c>
      <c r="F147" s="207">
        <v>10819682.642999999</v>
      </c>
      <c r="G147" s="207">
        <v>14623005.072000001</v>
      </c>
      <c r="I147" s="207">
        <f t="shared" si="284"/>
        <v>7818414827.0000095</v>
      </c>
      <c r="J147" s="207">
        <f t="shared" si="284"/>
        <v>10819682643</v>
      </c>
      <c r="K147" s="207">
        <f t="shared" si="284"/>
        <v>14623005072</v>
      </c>
      <c r="L147" s="187">
        <f>IF(intermediates!$B$4&gt;=2,(intermediates!$B$4-2)*K147+(1-(intermediates!$B$4-2))*J147,(intermediates!$B$4-1)*J147+(1-(intermediates!$B$4-1))*I147)</f>
        <v>12224095419.019524</v>
      </c>
      <c r="AJ147" s="184">
        <f>IF(intermediates!$B$46=0,$AJ$74+(intermediates!$B$15-$AJ$74)*MIN(1,(data!A147-data!$A$74)/(intermediates!$B$32-data!$A$74)),IF(A147&lt;2021,$AJ$74+(intermediates!$B$15-$AJ$74)*MIN(1,(data!A147-data!$A$74)/(intermediates!$B$32-data!$A$74)),intermediates!$B$47+(intermediates!$B$15-intermediates!$B$47)*MIN(1,(data!A147-$A$77)/(intermediates!$B$32-$A$77))))</f>
        <v>27400</v>
      </c>
      <c r="AK147" s="192">
        <f t="shared" si="285"/>
        <v>27400</v>
      </c>
      <c r="AL147" s="192">
        <f t="shared" si="234"/>
        <v>334940214481134.94</v>
      </c>
      <c r="AM147" s="192">
        <f>data!AL147/(1000000*conversions!$C$1)</f>
        <v>28709.161241240137</v>
      </c>
      <c r="AN147" s="192">
        <f>IF(intermediates!$B$13=1,($AJ$74+(27400-$AJ$74)*MIN(1,(data!A147-data!$A$74)/(intermediates!$B$32-data!$A$74)))*L147/(1000000*conversions!$C$1),data!AM147)</f>
        <v>28709.161241240137</v>
      </c>
      <c r="AV147" s="214">
        <f>IF(A147&lt;intermediates!$B$29,0,IF(A147&lt;intermediates!$B$31,(data!A147-intermediates!$B$29)*intermediates!$B$26/(intermediates!$B$31-intermediates!$B$29),intermediates!$B$26))</f>
        <v>10</v>
      </c>
      <c r="AW147" s="212">
        <f>MIN(AW146+intermediates!$B$16,intermediates!$B$17*data!$AW$74)</f>
        <v>1897.5897864678325</v>
      </c>
      <c r="AX147" s="212">
        <f>AV147*1000/conversions!$C$16/intermediates!$B$40</f>
        <v>8187.0584968062822</v>
      </c>
      <c r="AY147" s="212">
        <f>AX147*(1-intermediates!$B$39)*intermediates!$B$28/(conversions!$C$2)</f>
        <v>2143.0300372958864</v>
      </c>
      <c r="AZ147" s="213">
        <f>IF(A147&lt;intermediates!$B$29,0,MIN(intermediates!$B$25,intermediates!$B$25*(A147-intermediates!$B$29)/(intermediates!$B$31-intermediates!$B$29)))</f>
        <v>0</v>
      </c>
      <c r="BA147" s="212">
        <f>IF(A147&lt;intermediates!$B$29,data!$BA$74,IF(intermediates!$B$23&gt;data!$BA$74,MIN(intermediates!$B$23,data!$BA$74+(intermediates!$B$23-data!$BA$74)*((data!A147-intermediates!$B$29)/(intermediates!$B$31-intermediates!$B$29))),MAX(intermediates!$B$23,data!$BA$74+(intermediates!$B$23-data!$BA$74)*((data!A147-intermediates!$B$29)/(intermediates!$B$31-intermediates!$B$29)))))</f>
        <v>0.08</v>
      </c>
      <c r="BB147" s="212">
        <f t="shared" si="286"/>
        <v>2296.7328992992111</v>
      </c>
      <c r="BC147" s="212">
        <f t="shared" si="303"/>
        <v>2296.7328992992111</v>
      </c>
      <c r="BD147" s="212">
        <f t="shared" si="304"/>
        <v>0</v>
      </c>
      <c r="BE147" s="214">
        <f>MAX(0,MIN(1,(data!A147-intermediates!$B$29)/(intermediates!$B$31-intermediates!$B$29)))*((intermediates!$B$38*L147)-$BE$69*1000000000)/1000000000+$BE$69</f>
        <v>1528.0119273774403</v>
      </c>
      <c r="BF147" s="214">
        <f t="shared" si="237"/>
        <v>1528.0119273774403</v>
      </c>
      <c r="BG147" s="214">
        <f t="shared" si="305"/>
        <v>0</v>
      </c>
      <c r="BH147" s="214">
        <f>BD147*conversions!$C$2/conversions!$C$17+BG147*conversions!$C$6/conversions!$C$10</f>
        <v>0</v>
      </c>
      <c r="BI147" s="214">
        <f>BH147*intermediates!$B$41*conversions!$C$11/(conversions!$C$2*conversions!$C$6*intermediates!$B$42)</f>
        <v>0</v>
      </c>
      <c r="BJ147" s="214">
        <f>BH147*intermediates!$B$43/(conversions!$C$1*intermediates!$B$42)</f>
        <v>0</v>
      </c>
      <c r="BK147" s="214">
        <f t="shared" si="287"/>
        <v>0</v>
      </c>
      <c r="BL147" s="214">
        <f t="shared" si="288"/>
        <v>28709.161241240137</v>
      </c>
      <c r="BM147" s="214">
        <f t="shared" si="289"/>
        <v>22371.808518177208</v>
      </c>
      <c r="BN147" s="214">
        <f>IF(A147&lt;intermediates!$B$29,MIN(BO146+intermediates!$B$33*AN146),MIN(BO146*intermediates!$B$35,BO146+intermediates!$B$37*AN146))</f>
        <v>23130.633722362996</v>
      </c>
      <c r="BO147" s="212">
        <f>IF(A147&lt;intermediates!$B$29,MIN(BM147,BO146+intermediates!$B$33*AN146),MIN(BM147,BO146*intermediates!$B$35,BO146+intermediates!$B$37*AN146))</f>
        <v>22371.808518177208</v>
      </c>
      <c r="BP147" s="214">
        <f t="shared" si="290"/>
        <v>758.82520418578861</v>
      </c>
      <c r="BQ147" s="214">
        <f t="shared" si="291"/>
        <v>0</v>
      </c>
      <c r="BR147" s="212" t="str">
        <f t="shared" si="235"/>
        <v/>
      </c>
      <c r="BS147" s="212">
        <f>BP147*conversions!$C$1*intermediates!$B$42/intermediates!$B$43</f>
        <v>1693.6041344913278</v>
      </c>
      <c r="BT147" s="214">
        <f>MIN(BT146+BS147,intermediates!$B$27*1000)</f>
        <v>0</v>
      </c>
      <c r="BU147" s="219" t="str">
        <f>IF(AND(BT147=intermediates!$B$27*1000,BT146&lt;&gt;intermediates!$B$27*1000),A147,"")</f>
        <v/>
      </c>
      <c r="BV147" s="212">
        <f>BT147*intermediates!$B$43/(conversions!$C$1*intermediates!$B$42)</f>
        <v>0</v>
      </c>
      <c r="BW147" s="214">
        <f t="shared" si="292"/>
        <v>28709.161241240137</v>
      </c>
      <c r="BX147" s="214">
        <f t="shared" si="293"/>
        <v>22371.808518177208</v>
      </c>
      <c r="BY147" s="227">
        <f>IF(OR(BQ147&gt;0,BT147&lt;&gt;intermediates!$B$27*1000),MAX(0,(BX147-BX146)/AM146),0.000000000001)</f>
        <v>9.9999999999999998E-13</v>
      </c>
      <c r="BZ147" s="322">
        <f>BH147*intermediates!$B$49*1000000</f>
        <v>0</v>
      </c>
      <c r="CA147" s="322">
        <f>BI147*conversions!$C$1*1000000*intermediates!$B$50</f>
        <v>0</v>
      </c>
      <c r="CB147" s="322">
        <f>BT147*1000000*intermediates!$B$49</f>
        <v>0</v>
      </c>
      <c r="CC147" s="214">
        <f>BW147*conversions!$C$1*1000000/L147</f>
        <v>27399.999999999993</v>
      </c>
      <c r="CD147" s="173">
        <f t="shared" si="239"/>
        <v>2091</v>
      </c>
      <c r="CE147" s="173"/>
      <c r="CF147" s="173"/>
      <c r="CG147" s="173"/>
      <c r="CH147" s="173"/>
      <c r="CI147" s="173">
        <f t="shared" si="294"/>
        <v>0</v>
      </c>
      <c r="CJ147" s="173">
        <f t="shared" si="295"/>
        <v>1897.5897864678325</v>
      </c>
      <c r="CK147" s="173">
        <f t="shared" si="296"/>
        <v>2296.7328992992111</v>
      </c>
      <c r="CL147" s="173">
        <f t="shared" si="297"/>
        <v>2143.0300372958864</v>
      </c>
      <c r="CM147" s="173"/>
      <c r="CN147" s="173"/>
      <c r="CO147" s="329">
        <f t="shared" si="306"/>
        <v>22371.808518177208</v>
      </c>
      <c r="CP147" s="174">
        <f t="shared" si="298"/>
        <v>0</v>
      </c>
      <c r="CQ147" s="228">
        <f t="shared" si="299"/>
        <v>10</v>
      </c>
      <c r="CR147" s="228">
        <f t="shared" si="307"/>
        <v>555</v>
      </c>
      <c r="CS147" s="214">
        <f t="shared" ca="1" si="300"/>
        <v>-29.040738610319941</v>
      </c>
      <c r="CT147" s="190">
        <f t="shared" ca="1" si="301"/>
        <v>-2.3756963288371695</v>
      </c>
      <c r="CU147" s="190">
        <f t="shared" ca="1" si="236"/>
        <v>-29.040738610319941</v>
      </c>
      <c r="CV147" s="198">
        <f t="shared" si="308"/>
        <v>3203.9310777670239</v>
      </c>
      <c r="CW147" s="198">
        <f t="shared" ca="1" si="309"/>
        <v>3796.8898451957907</v>
      </c>
      <c r="CX147" s="198">
        <f t="shared" ca="1" si="302"/>
        <v>2913.1490769392922</v>
      </c>
      <c r="CY147" s="198">
        <f t="shared" ca="1" si="310"/>
        <v>-883.74076825649956</v>
      </c>
      <c r="CZ147" s="199">
        <f ca="1">IF(CX147&lt;intermediates!$B$55,intermediates!$B$56+(CX147-intermediates!$B$55)*intermediates!$B$53,intermediates!$B$56+(data!CX147-intermediates!$B$55)*intermediates!$B$58)</f>
        <v>1.5532613434919</v>
      </c>
      <c r="DG147" s="201">
        <f>IF(A147&gt;MAX(intermediates!B$31,intermediates!$B$32),DG146,DG146+intermediates!$B$60*DG$73)</f>
        <v>19505207416250</v>
      </c>
      <c r="DH147" s="201">
        <f>IF(A147&gt;MAX(intermediates!B$31,intermediates!$B$32),DH146,DH146+intermediates!$B$61*DH$73)</f>
        <v>28534082329375</v>
      </c>
      <c r="DI147" s="201">
        <f>IF(A147&gt;MAX(intermediates!B$31,intermediates!$B$32),DI146,DI146+intermediates!$B$62*DI$73)</f>
        <v>38669431049000</v>
      </c>
      <c r="DJ147" s="221"/>
      <c r="EE147" s="218"/>
      <c r="EF147" s="212">
        <f>$EF$69+intermediates!$B$90*(A147-2013)*intermediates!$B$92+intermediates!$B$91*intermediates!$B$92*(A147-2013)^2</f>
        <v>3162.9291085492187</v>
      </c>
      <c r="EH147" s="212">
        <f>IF(A147&lt;intermediates!$B$29,data!EH146,IF(A147&lt;intermediates!$B$31,data!$EH$69+(intermediates!$B$93-data!$EH$69)*(data!A147-intermediates!$B$29)/(intermediates!$B$31-intermediates!$B$29),intermediates!$B$93))</f>
        <v>2.522212345090466E-2</v>
      </c>
      <c r="EI147" s="212">
        <f t="shared" si="265"/>
        <v>2.522212345090466E-2</v>
      </c>
      <c r="EN147" s="218"/>
      <c r="EO147" s="212">
        <f t="shared" si="266"/>
        <v>3083.1533201069306</v>
      </c>
      <c r="EQ147" s="212">
        <f t="shared" si="267"/>
        <v>79.775788442288103</v>
      </c>
      <c r="ET147" s="214">
        <f>IF(A147&lt;intermediates!$B$29,ET146+intermediates!$B$63,ET146+intermediates!$B$63*intermediates!$B$67)</f>
        <v>1563.8475352667676</v>
      </c>
      <c r="EU147" s="215">
        <f t="shared" si="268"/>
        <v>1563.8475352667676</v>
      </c>
      <c r="EV147" s="216">
        <f>data!EU147*conversions!$C$13</f>
        <v>1.8187546835152508</v>
      </c>
      <c r="EX147" s="212">
        <f>intermediates!$B$64+intermediates!$B$64*(EXP(-(data!A147-intermediates!$B$66)/intermediates!$B$65)-1)</f>
        <v>5.0822138761855706E-3</v>
      </c>
      <c r="EY147" s="217">
        <f>IF(A147&lt;intermediates!$B$29,data!EX147,data!EY146+(data!EX147-data!EX146)*intermediates!$B$68)</f>
        <v>5.0822138761855706E-3</v>
      </c>
      <c r="EZ147" s="217">
        <f t="shared" si="269"/>
        <v>5.0822138761855706E-3</v>
      </c>
      <c r="FB147" s="212">
        <f>intermediates!$B$94+intermediates!$B$95+(intermediates!$B$95*(EXP(-(data!A147-intermediates!$B$97)/intermediates!$B$96)-1))</f>
        <v>1.5407505188859223</v>
      </c>
      <c r="FC147" s="217">
        <f>IF(A147&lt;intermediates!$B$29,data!FB147,data!FC146+(data!FB147-data!FB146)*intermediates!$B$68)</f>
        <v>1.5407505188859223</v>
      </c>
      <c r="FD147" s="212">
        <f t="shared" si="270"/>
        <v>1.5407505188859223</v>
      </c>
      <c r="FF147" s="184">
        <f>intermediates!$B$98+intermediates!$B$99*EXP(-(A147-intermediates!$B$101)/intermediates!$B$100)</f>
        <v>0.90126465348206042</v>
      </c>
      <c r="FG147" s="184">
        <f t="shared" si="240"/>
        <v>0.90126465348206042</v>
      </c>
      <c r="FI147" s="184">
        <f>intermediates!$B$102+intermediates!$B$103*EXP(-(A147-intermediates!$B$105)/intermediates!$B$104)</f>
        <v>1.4284031695178797E-2</v>
      </c>
      <c r="FJ147" s="184">
        <f t="shared" si="271"/>
        <v>1.4284031695178797E-2</v>
      </c>
      <c r="FL147" s="184">
        <f>intermediates!$B$106</f>
        <v>4.5616870531049965E-2</v>
      </c>
      <c r="FM147" s="184">
        <f t="shared" si="272"/>
        <v>4.5616870531049965E-2</v>
      </c>
      <c r="FN147" s="218">
        <f>IF(A147&lt;intermediates!$B$29,0,IF(A147&lt;intermediates!$B$31,(data!A147-intermediates!$B$29)/(intermediates!$B$31-intermediates!$B$29),1))</f>
        <v>1</v>
      </c>
      <c r="FO147" s="218">
        <f t="shared" si="312"/>
        <v>355943200266806.31</v>
      </c>
      <c r="FP147" s="218">
        <f t="shared" si="313"/>
        <v>394937490216231.31</v>
      </c>
      <c r="FQ147" s="218">
        <f t="shared" si="314"/>
        <v>2007156793002.8337</v>
      </c>
      <c r="FR147" s="218">
        <f t="shared" si="315"/>
        <v>608500142978162.25</v>
      </c>
      <c r="FS147" s="218">
        <f t="shared" si="316"/>
        <v>389104518986.47638</v>
      </c>
      <c r="FT147" s="218">
        <f>intermediates!$B$69*data!EU147/intermediates!$B$71</f>
        <v>3.9805139676081476</v>
      </c>
      <c r="FU147" s="218">
        <f>BC147*conversions!$C$1*1000000</f>
        <v>26795217158490.797</v>
      </c>
      <c r="FV147" s="218">
        <f t="shared" si="320"/>
        <v>6731597320481.6523</v>
      </c>
      <c r="FX147" s="221"/>
      <c r="FY147" s="221"/>
      <c r="FZ147" s="221"/>
      <c r="GA147" s="218">
        <f t="shared" si="241"/>
        <v>1528.0119273774403</v>
      </c>
      <c r="GB147" s="218">
        <f>GA147*1000000*10000*intermediates!$B$71/(intermediates!$B$72*data!EU147)</f>
        <v>4798412779768.5127</v>
      </c>
      <c r="GC147" s="218">
        <f t="shared" si="317"/>
        <v>8796508116796.0996</v>
      </c>
      <c r="GD147" s="218">
        <f t="shared" si="283"/>
        <v>20715622736032.742</v>
      </c>
      <c r="GE147" s="218">
        <f t="shared" si="318"/>
        <v>22035573467827.988</v>
      </c>
      <c r="GF147" s="218">
        <f t="shared" si="319"/>
        <v>314756829835.89594</v>
      </c>
      <c r="GG147" s="218">
        <f t="shared" si="273"/>
        <v>1005193901959.349</v>
      </c>
      <c r="GH147" s="218">
        <f t="shared" si="242"/>
        <v>9024115471247.1133</v>
      </c>
      <c r="GI147" s="218">
        <f t="shared" si="274"/>
        <v>161497164535.46289</v>
      </c>
      <c r="GJ147" s="218">
        <f>ET147*intermediates!$B$73/intermediates!$B$71</f>
        <v>5.9707709514122218</v>
      </c>
      <c r="GK147" s="218">
        <f>CL147*conversions!$C$1*1000000/data!GJ147</f>
        <v>4187401812134.7964</v>
      </c>
      <c r="GL147" s="218">
        <f>MIN(1,FN147)*(intermediates!$B$75-data!$GL$69)+data!$GL$69</f>
        <v>1</v>
      </c>
      <c r="GM147" s="218">
        <f>GL147*intermediates!$B$74*(FS147+GC147+GK147+GG147+GF147+GB147+FV147)</f>
        <v>3933446291994.4175</v>
      </c>
      <c r="GN147" s="218">
        <f>MIN(1,FN147)*intermediates!$B$76</f>
        <v>0.12</v>
      </c>
      <c r="GO147" s="218">
        <f t="shared" si="275"/>
        <v>3618770588634.8638</v>
      </c>
      <c r="GP147" s="218">
        <f>IF(A147&gt;intermediates!$B$29,MIN(1,(A147-intermediates!$B$29)/(intermediates!$B$31-intermediates!$B$29))*intermediates!$B$77,0)</f>
        <v>0.15</v>
      </c>
      <c r="GQ147" s="218">
        <f>IF(AND(A147&gt;intermediates!$B$29+intermediates!$B$30,data!GP147&lt;intermediates!$B$77),1,0)</f>
        <v>0</v>
      </c>
      <c r="GR147" s="218">
        <f t="shared" si="243"/>
        <v>7205893461843.75</v>
      </c>
      <c r="GS147" s="218">
        <f t="shared" si="244"/>
        <v>42988242415438.648</v>
      </c>
      <c r="GT147" s="218">
        <f t="shared" si="238"/>
        <v>86708720794625</v>
      </c>
      <c r="GU147" s="218">
        <f t="shared" si="245"/>
        <v>45875324510843.75</v>
      </c>
      <c r="GV147" s="218">
        <f t="shared" si="246"/>
        <v>30156421571957.199</v>
      </c>
      <c r="GW147" s="218">
        <f t="shared" si="247"/>
        <v>5051047330186.3516</v>
      </c>
      <c r="GX147" s="218">
        <f>MIN(intermediates!$B$88,FN147*intermediates!$B$87*GO147)</f>
        <v>1809385294317.4319</v>
      </c>
      <c r="GY147" s="218">
        <f t="shared" si="248"/>
        <v>1809385294317.4319</v>
      </c>
      <c r="GZ147" s="218">
        <f>MIN(intermediates!$B$88-GX147,intermediates!$B$87*data!GW147*FN147)</f>
        <v>2525523665093.1758</v>
      </c>
      <c r="HA147" s="218">
        <f t="shared" si="276"/>
        <v>2525523665093.1758</v>
      </c>
      <c r="HB147" s="218">
        <f t="shared" si="277"/>
        <v>4334908959410.6074</v>
      </c>
      <c r="HC147" s="218">
        <f t="shared" si="249"/>
        <v>6342065752413.4414</v>
      </c>
      <c r="HD147" s="218">
        <f>HC147*intermediates!$B$79/(10000*1000000000)</f>
        <v>420.9495687567923</v>
      </c>
      <c r="HE147" s="218">
        <f>(GV147*intermediates!$B$80+GV147*GL147*intermediates!$B$82)/(10000*1000000000)</f>
        <v>1124.3262201924483</v>
      </c>
      <c r="HF147" s="218">
        <f>GU147*intermediates!$B$78/(10000*1000000000)</f>
        <v>4619.6154707550731</v>
      </c>
      <c r="HG147" s="218">
        <f>HB147*intermediates!$B$81/(10000*1000000000)</f>
        <v>1089.6379281185798</v>
      </c>
      <c r="HH147" s="218">
        <f t="shared" si="250"/>
        <v>0</v>
      </c>
      <c r="HI147" s="218">
        <f t="shared" si="251"/>
        <v>15.542079508705683</v>
      </c>
      <c r="HJ147" s="218">
        <f t="shared" si="252"/>
        <v>-1.3716446343710231</v>
      </c>
      <c r="HK147" s="218">
        <f ca="1">SUM(HJ147:INDIRECT(ADDRESS(MAX(CELL("row",HJ147)-intermediates!$B$83,69),CELL("col",HJ147))))/intermediates!$B$83+SUM(HH147:INDIRECT(ADDRESS(MAX(CELL("row",HH147)-intermediates!$B$84,69),CELL("col",HH147))))/intermediates!$B$84+SUM(HI147:INDIRECT(ADDRESS(MAX(CELL("row",HI147)-intermediates!$B$85,69),CELL("col",HI147))))/intermediates!$B$85</f>
        <v>19.040738610319941</v>
      </c>
      <c r="HL147" s="218">
        <f t="shared" ca="1" si="278"/>
        <v>-264.21799917226502</v>
      </c>
      <c r="HM147" s="188">
        <f t="shared" si="253"/>
        <v>2091</v>
      </c>
      <c r="HQ147" s="185">
        <f t="shared" si="254"/>
        <v>846.20299895139738</v>
      </c>
      <c r="HR147" s="185">
        <f t="shared" si="255"/>
        <v>550.68265501330518</v>
      </c>
      <c r="HS147" s="185">
        <f t="shared" si="256"/>
        <v>392.53724838425597</v>
      </c>
      <c r="HT147" s="185">
        <f t="shared" si="257"/>
        <v>342.5531025894644</v>
      </c>
      <c r="HU147" s="185">
        <f t="shared" si="258"/>
        <v>321.77810767693705</v>
      </c>
      <c r="HV147" s="185">
        <f t="shared" si="259"/>
        <v>296.03585906278209</v>
      </c>
      <c r="HW147" s="185">
        <f t="shared" si="260"/>
        <v>589.48275637901747</v>
      </c>
      <c r="HX147" s="185">
        <f t="shared" si="261"/>
        <v>13.211379574490946</v>
      </c>
      <c r="HY147" s="185">
        <f t="shared" si="262"/>
        <v>164.19675437741509</v>
      </c>
      <c r="HZ147" s="185">
        <f t="shared" si="279"/>
        <v>3339.2727280571598</v>
      </c>
      <c r="IA147" s="185">
        <f t="shared" si="280"/>
        <v>3516.6808620090655</v>
      </c>
      <c r="IB147" s="185">
        <f t="shared" si="263"/>
        <v>2613.2301845738384</v>
      </c>
      <c r="IC147" s="185">
        <f t="shared" si="311"/>
        <v>3929.8850425267833</v>
      </c>
      <c r="ID147" s="185">
        <f t="shared" si="264"/>
        <v>3163.3777161812777</v>
      </c>
      <c r="IE147" s="184">
        <f t="shared" si="281"/>
        <v>-0.18670306471735237</v>
      </c>
      <c r="IF147" s="184">
        <f t="shared" si="282"/>
        <v>-0.13062119594637717</v>
      </c>
    </row>
    <row r="148" spans="1:240" x14ac:dyDescent="0.3">
      <c r="A148" s="211">
        <v>2092</v>
      </c>
      <c r="E148" s="207">
        <v>7766163.6579999998</v>
      </c>
      <c r="F148" s="207">
        <v>10828780.959000001</v>
      </c>
      <c r="G148" s="207">
        <v>14730608.881999999</v>
      </c>
      <c r="I148" s="207">
        <f t="shared" si="284"/>
        <v>7766163658</v>
      </c>
      <c r="J148" s="207">
        <f t="shared" si="284"/>
        <v>10828780959</v>
      </c>
      <c r="K148" s="207">
        <f t="shared" si="284"/>
        <v>14730608882</v>
      </c>
      <c r="L148" s="187">
        <f>IF(intermediates!$B$4&gt;=2,(intermediates!$B$4-2)*K148+(1-(intermediates!$B$4-2))*J148,(intermediates!$B$4-1)*J148+(1-(intermediates!$B$4-1))*I148)</f>
        <v>12269567820.273739</v>
      </c>
      <c r="AJ148" s="184">
        <f>IF(intermediates!$B$46=0,$AJ$74+(intermediates!$B$15-$AJ$74)*MIN(1,(data!A148-data!$A$74)/(intermediates!$B$32-data!$A$74)),IF(A148&lt;2021,$AJ$74+(intermediates!$B$15-$AJ$74)*MIN(1,(data!A148-data!$A$74)/(intermediates!$B$32-data!$A$74)),intermediates!$B$47+(intermediates!$B$15-intermediates!$B$47)*MIN(1,(data!A148-$A$77)/(intermediates!$B$32-$A$77))))</f>
        <v>27400</v>
      </c>
      <c r="AK148" s="192">
        <f t="shared" si="285"/>
        <v>27400</v>
      </c>
      <c r="AL148" s="192">
        <f t="shared" si="234"/>
        <v>336186158275500.44</v>
      </c>
      <c r="AM148" s="192">
        <f>data!AL148/(1000000*conversions!$C$1)</f>
        <v>28815.956423614323</v>
      </c>
      <c r="AN148" s="192">
        <f>IF(intermediates!$B$13=1,($AJ$74+(27400-$AJ$74)*MIN(1,(data!A148-data!$A$74)/(intermediates!$B$32-data!$A$74)))*L148/(1000000*conversions!$C$1),data!AM148)</f>
        <v>28815.956423614323</v>
      </c>
      <c r="AV148" s="214">
        <f>IF(A148&lt;intermediates!$B$29,0,IF(A148&lt;intermediates!$B$31,(data!A148-intermediates!$B$29)*intermediates!$B$26/(intermediates!$B$31-intermediates!$B$29),intermediates!$B$26))</f>
        <v>10</v>
      </c>
      <c r="AW148" s="212">
        <f>MIN(AW147+intermediates!$B$16,intermediates!$B$17*data!$AW$74)</f>
        <v>1897.5897864678325</v>
      </c>
      <c r="AX148" s="212">
        <f>AV148*1000/conversions!$C$16/intermediates!$B$40</f>
        <v>8187.0584968062822</v>
      </c>
      <c r="AY148" s="212">
        <f>AX148*(1-intermediates!$B$39)*intermediates!$B$28/(conversions!$C$2)</f>
        <v>2143.0300372958864</v>
      </c>
      <c r="AZ148" s="213">
        <f>IF(A148&lt;intermediates!$B$29,0,MIN(intermediates!$B$25,intermediates!$B$25*(A148-intermediates!$B$29)/(intermediates!$B$31-intermediates!$B$29)))</f>
        <v>0</v>
      </c>
      <c r="BA148" s="212">
        <f>IF(A148&lt;intermediates!$B$29,data!$BA$74,IF(intermediates!$B$23&gt;data!$BA$74,MIN(intermediates!$B$23,data!$BA$74+(intermediates!$B$23-data!$BA$74)*((data!A148-intermediates!$B$29)/(intermediates!$B$31-intermediates!$B$29))),MAX(intermediates!$B$23,data!$BA$74+(intermediates!$B$23-data!$BA$74)*((data!A148-intermediates!$B$29)/(intermediates!$B$31-intermediates!$B$29)))))</f>
        <v>0.08</v>
      </c>
      <c r="BB148" s="212">
        <f t="shared" si="286"/>
        <v>2305.2765138891459</v>
      </c>
      <c r="BC148" s="212">
        <f t="shared" si="303"/>
        <v>2305.2765138891459</v>
      </c>
      <c r="BD148" s="212">
        <f t="shared" si="304"/>
        <v>0</v>
      </c>
      <c r="BE148" s="214">
        <f>MAX(0,MIN(1,(data!A148-intermediates!$B$29)/(intermediates!$B$31-intermediates!$B$29)))*((intermediates!$B$38*L148)-$BE$69*1000000000)/1000000000+$BE$69</f>
        <v>1533.6959775342173</v>
      </c>
      <c r="BF148" s="214">
        <f t="shared" si="237"/>
        <v>1533.6959775342173</v>
      </c>
      <c r="BG148" s="214">
        <f t="shared" si="305"/>
        <v>0</v>
      </c>
      <c r="BH148" s="214">
        <f>BD148*conversions!$C$2/conversions!$C$17+BG148*conversions!$C$6/conversions!$C$10</f>
        <v>0</v>
      </c>
      <c r="BI148" s="214">
        <f>BH148*intermediates!$B$41*conversions!$C$11/(conversions!$C$2*conversions!$C$6*intermediates!$B$42)</f>
        <v>0</v>
      </c>
      <c r="BJ148" s="214">
        <f>BH148*intermediates!$B$43/(conversions!$C$1*intermediates!$B$42)</f>
        <v>0</v>
      </c>
      <c r="BK148" s="214">
        <f t="shared" si="287"/>
        <v>0</v>
      </c>
      <c r="BL148" s="214">
        <f t="shared" si="288"/>
        <v>28815.956423614323</v>
      </c>
      <c r="BM148" s="214">
        <f t="shared" si="289"/>
        <v>22470.060085961457</v>
      </c>
      <c r="BN148" s="214">
        <f>IF(A148&lt;intermediates!$B$29,MIN(BO147+intermediates!$B$33*AN147),MIN(BO147*intermediates!$B$35,BO147+intermediates!$B$37*AN147))</f>
        <v>23232.690826716502</v>
      </c>
      <c r="BO148" s="212">
        <f>IF(A148&lt;intermediates!$B$29,MIN(BM148,BO147+intermediates!$B$33*AN147),MIN(BM148,BO147*intermediates!$B$35,BO147+intermediates!$B$37*AN147))</f>
        <v>22470.060085961457</v>
      </c>
      <c r="BP148" s="214">
        <f t="shared" si="290"/>
        <v>762.63074075504483</v>
      </c>
      <c r="BQ148" s="214">
        <f t="shared" si="291"/>
        <v>0</v>
      </c>
      <c r="BR148" s="212" t="str">
        <f t="shared" si="235"/>
        <v/>
      </c>
      <c r="BS148" s="212">
        <f>BP148*conversions!$C$1*intermediates!$B$42/intermediates!$B$43</f>
        <v>1702.097622098353</v>
      </c>
      <c r="BT148" s="214">
        <f>MIN(BT147+BS148,intermediates!$B$27*1000)</f>
        <v>0</v>
      </c>
      <c r="BU148" s="219" t="str">
        <f>IF(AND(BT148=intermediates!$B$27*1000,BT147&lt;&gt;intermediates!$B$27*1000),A148,"")</f>
        <v/>
      </c>
      <c r="BV148" s="212">
        <f>BT148*intermediates!$B$43/(conversions!$C$1*intermediates!$B$42)</f>
        <v>0</v>
      </c>
      <c r="BW148" s="214">
        <f t="shared" si="292"/>
        <v>28815.956423614323</v>
      </c>
      <c r="BX148" s="214">
        <f t="shared" si="293"/>
        <v>22470.060085961457</v>
      </c>
      <c r="BY148" s="227">
        <f>IF(OR(BQ148&gt;0,BT148&lt;&gt;intermediates!$B$27*1000),MAX(0,(BX148-BX147)/AM147),0.000000000001)</f>
        <v>9.9999999999999998E-13</v>
      </c>
      <c r="BZ148" s="322">
        <f>BH148*intermediates!$B$49*1000000</f>
        <v>0</v>
      </c>
      <c r="CA148" s="322">
        <f>BI148*conversions!$C$1*1000000*intermediates!$B$50</f>
        <v>0</v>
      </c>
      <c r="CB148" s="322">
        <f>BT148*1000000*intermediates!$B$49</f>
        <v>0</v>
      </c>
      <c r="CC148" s="214">
        <f>BW148*conversions!$C$1*1000000/L148</f>
        <v>27400</v>
      </c>
      <c r="CD148" s="173">
        <f t="shared" si="239"/>
        <v>2092</v>
      </c>
      <c r="CE148" s="173"/>
      <c r="CF148" s="173"/>
      <c r="CG148" s="173"/>
      <c r="CH148" s="173"/>
      <c r="CI148" s="173">
        <f t="shared" si="294"/>
        <v>0</v>
      </c>
      <c r="CJ148" s="173">
        <f t="shared" si="295"/>
        <v>1897.5897864678325</v>
      </c>
      <c r="CK148" s="173">
        <f t="shared" si="296"/>
        <v>2305.2765138891459</v>
      </c>
      <c r="CL148" s="173">
        <f t="shared" si="297"/>
        <v>2143.0300372958864</v>
      </c>
      <c r="CM148" s="173"/>
      <c r="CN148" s="173"/>
      <c r="CO148" s="329">
        <f t="shared" si="306"/>
        <v>22470.060085961457</v>
      </c>
      <c r="CP148" s="174">
        <f t="shared" si="298"/>
        <v>0</v>
      </c>
      <c r="CQ148" s="228">
        <f t="shared" si="299"/>
        <v>10</v>
      </c>
      <c r="CR148" s="228">
        <f t="shared" si="307"/>
        <v>565</v>
      </c>
      <c r="CS148" s="214">
        <f t="shared" ca="1" si="300"/>
        <v>-29.341814227363038</v>
      </c>
      <c r="CT148" s="190">
        <f t="shared" ca="1" si="301"/>
        <v>-2.39143013488053</v>
      </c>
      <c r="CU148" s="190">
        <f t="shared" ca="1" si="236"/>
        <v>-29.341814227363038</v>
      </c>
      <c r="CV148" s="198">
        <f t="shared" si="308"/>
        <v>3203.9310777670239</v>
      </c>
      <c r="CW148" s="198">
        <f t="shared" ca="1" si="309"/>
        <v>3796.8898451957907</v>
      </c>
      <c r="CX148" s="198">
        <f t="shared" ca="1" si="302"/>
        <v>2883.8072627119291</v>
      </c>
      <c r="CY148" s="198">
        <f t="shared" ca="1" si="310"/>
        <v>-913.08258248386255</v>
      </c>
      <c r="CZ148" s="199">
        <f ca="1">IF(CX148&lt;intermediates!$B$55,intermediates!$B$56+(CX148-intermediates!$B$55)*intermediates!$B$53,intermediates!$B$56+(data!CX148-intermediates!$B$55)*intermediates!$B$58)</f>
        <v>1.5373052737848993</v>
      </c>
      <c r="DG148" s="201">
        <f>IF(A148&gt;MAX(intermediates!B$31,intermediates!$B$32),DG147,DG147+intermediates!$B$60*DG$73)</f>
        <v>19505207416250</v>
      </c>
      <c r="DH148" s="201">
        <f>IF(A148&gt;MAX(intermediates!B$31,intermediates!$B$32),DH147,DH147+intermediates!$B$61*DH$73)</f>
        <v>28534082329375</v>
      </c>
      <c r="DI148" s="201">
        <f>IF(A148&gt;MAX(intermediates!B$31,intermediates!$B$32),DI147,DI147+intermediates!$B$62*DI$73)</f>
        <v>38669431049000</v>
      </c>
      <c r="DJ148" s="221"/>
      <c r="EE148" s="218"/>
      <c r="EF148" s="212">
        <f>$EF$69+intermediates!$B$90*(A148-2013)*intermediates!$B$92+intermediates!$B$91*intermediates!$B$92*(A148-2013)^2</f>
        <v>3164.5103985492187</v>
      </c>
      <c r="EH148" s="212">
        <f>IF(A148&lt;intermediates!$B$29,data!EH147,IF(A148&lt;intermediates!$B$31,data!$EH$69+(intermediates!$B$93-data!$EH$69)*(data!A148-intermediates!$B$29)/(intermediates!$B$31-intermediates!$B$29),intermediates!$B$93))</f>
        <v>2.522212345090466E-2</v>
      </c>
      <c r="EI148" s="212">
        <f t="shared" si="265"/>
        <v>2.522212345090466E-2</v>
      </c>
      <c r="EN148" s="218"/>
      <c r="EO148" s="212">
        <f t="shared" si="266"/>
        <v>3084.6947266153388</v>
      </c>
      <c r="EQ148" s="212">
        <f t="shared" si="267"/>
        <v>79.815671933879912</v>
      </c>
      <c r="ET148" s="214">
        <f>IF(A148&lt;intermediates!$B$29,ET147+intermediates!$B$63,ET147+intermediates!$B$63*intermediates!$B$67)</f>
        <v>1573.8231246582104</v>
      </c>
      <c r="EU148" s="215">
        <f t="shared" si="268"/>
        <v>1573.8231246582104</v>
      </c>
      <c r="EV148" s="216">
        <f>data!EU148*conversions!$C$13</f>
        <v>1.8303562939774987</v>
      </c>
      <c r="EX148" s="212">
        <f>intermediates!$B$64+intermediates!$B$64*(EXP(-(data!A148-intermediates!$B$66)/intermediates!$B$65)-1)</f>
        <v>4.9877330477355146E-3</v>
      </c>
      <c r="EY148" s="217">
        <f>IF(A148&lt;intermediates!$B$29,data!EX148,data!EY147+(data!EX148-data!EX147)*intermediates!$B$68)</f>
        <v>4.9877330477355146E-3</v>
      </c>
      <c r="EZ148" s="217">
        <f t="shared" si="269"/>
        <v>4.9877330477355146E-3</v>
      </c>
      <c r="FB148" s="212">
        <f>intermediates!$B$94+intermediates!$B$95+(intermediates!$B$95*(EXP(-(data!A148-intermediates!$B$97)/intermediates!$B$96)-1))</f>
        <v>1.5396392335517342</v>
      </c>
      <c r="FC148" s="217">
        <f>IF(A148&lt;intermediates!$B$29,data!FB148,data!FC147+(data!FB148-data!FB147)*intermediates!$B$68)</f>
        <v>1.5396392335517342</v>
      </c>
      <c r="FD148" s="212">
        <f t="shared" si="270"/>
        <v>1.5396392335517342</v>
      </c>
      <c r="FF148" s="184">
        <f>intermediates!$B$98+intermediates!$B$99*EXP(-(A148-intermediates!$B$101)/intermediates!$B$100)</f>
        <v>0.90145578941906457</v>
      </c>
      <c r="FG148" s="184">
        <f t="shared" si="240"/>
        <v>0.90145578941906457</v>
      </c>
      <c r="FI148" s="184">
        <f>intermediates!$B$102+intermediates!$B$103*EXP(-(A148-intermediates!$B$105)/intermediates!$B$104)</f>
        <v>1.4239889576405703E-2</v>
      </c>
      <c r="FJ148" s="184">
        <f t="shared" si="271"/>
        <v>1.4239889576405703E-2</v>
      </c>
      <c r="FL148" s="184">
        <f>intermediates!$B$106</f>
        <v>4.5616870531049965E-2</v>
      </c>
      <c r="FM148" s="184">
        <f t="shared" si="272"/>
        <v>4.5616870531049965E-2</v>
      </c>
      <c r="FN148" s="218">
        <f>IF(A148&lt;intermediates!$B$29,0,IF(A148&lt;intermediates!$B$31,(data!A148-intermediates!$B$29)/(intermediates!$B$31-intermediates!$B$29),1))</f>
        <v>1</v>
      </c>
      <c r="FO148" s="218">
        <f t="shared" si="312"/>
        <v>357445886968412.44</v>
      </c>
      <c r="FP148" s="218">
        <f t="shared" si="313"/>
        <v>396520707020768.44</v>
      </c>
      <c r="FQ148" s="218">
        <f t="shared" si="314"/>
        <v>1977739434518.9385</v>
      </c>
      <c r="FR148" s="218">
        <f t="shared" si="315"/>
        <v>610498837444847.63</v>
      </c>
      <c r="FS148" s="218">
        <f t="shared" si="316"/>
        <v>387908163172.67584</v>
      </c>
      <c r="FT148" s="218">
        <f>intermediates!$B$69*data!EU148/intermediates!$B$71</f>
        <v>4.0059051723210723</v>
      </c>
      <c r="FU148" s="218">
        <f>BC148*conversions!$C$1*1000000</f>
        <v>26894892662040.031</v>
      </c>
      <c r="FV148" s="218">
        <f t="shared" si="320"/>
        <v>6713811611885.1582</v>
      </c>
      <c r="FX148" s="221"/>
      <c r="FY148" s="221"/>
      <c r="FZ148" s="221"/>
      <c r="GA148" s="218">
        <f t="shared" si="241"/>
        <v>1533.6959775342173</v>
      </c>
      <c r="GB148" s="218">
        <f>GA148*1000000*10000*intermediates!$B$71/(intermediates!$B$72*data!EU148)</f>
        <v>4785734782650.8027</v>
      </c>
      <c r="GC148" s="218">
        <f t="shared" si="317"/>
        <v>8777652808896.4912</v>
      </c>
      <c r="GD148" s="218">
        <f t="shared" si="283"/>
        <v>20665107366605.129</v>
      </c>
      <c r="GE148" s="218">
        <f t="shared" si="318"/>
        <v>21980807274609.656</v>
      </c>
      <c r="GF148" s="218">
        <f t="shared" si="319"/>
        <v>313004268390.69672</v>
      </c>
      <c r="GG148" s="218">
        <f t="shared" si="273"/>
        <v>1002695639613.83</v>
      </c>
      <c r="GH148" s="218">
        <f t="shared" si="242"/>
        <v>9004772287170.7988</v>
      </c>
      <c r="GI148" s="218">
        <f t="shared" si="274"/>
        <v>160788684898.36914</v>
      </c>
      <c r="GJ148" s="218">
        <f>ET148*intermediates!$B$73/intermediates!$B$71</f>
        <v>6.0088577584816081</v>
      </c>
      <c r="GK148" s="218">
        <f>CL148*conversions!$C$1*1000000/data!GJ148</f>
        <v>4160860201174.6001</v>
      </c>
      <c r="GL148" s="218">
        <f>MIN(1,FN148)*(intermediates!$B$75-data!$GL$69)+data!$GL$69</f>
        <v>1</v>
      </c>
      <c r="GM148" s="218">
        <f>GL148*intermediates!$B$74*(FS148+GC148+GK148+GG148+GF148+GB148+FV148)</f>
        <v>3921250121367.6387</v>
      </c>
      <c r="GN148" s="218">
        <f>MIN(1,FN148)*intermediates!$B$76</f>
        <v>0.12</v>
      </c>
      <c r="GO148" s="218">
        <f t="shared" si="275"/>
        <v>3607550111658.2271</v>
      </c>
      <c r="GP148" s="218">
        <f>IF(A148&gt;intermediates!$B$29,MIN(1,(A148-intermediates!$B$29)/(intermediates!$B$31-intermediates!$B$29))*intermediates!$B$77,0)</f>
        <v>0.15</v>
      </c>
      <c r="GQ148" s="218">
        <f>IF(AND(A148&gt;intermediates!$B$29+intermediates!$B$30,data!GP148&lt;intermediates!$B$77),1,0)</f>
        <v>0</v>
      </c>
      <c r="GR148" s="218">
        <f t="shared" si="243"/>
        <v>7205893461843.75</v>
      </c>
      <c r="GS148" s="218">
        <f t="shared" si="244"/>
        <v>42854100605172.805</v>
      </c>
      <c r="GT148" s="218">
        <f t="shared" si="238"/>
        <v>86708720794625</v>
      </c>
      <c r="GU148" s="218">
        <f t="shared" si="245"/>
        <v>45875324510843.75</v>
      </c>
      <c r="GV148" s="218">
        <f t="shared" si="246"/>
        <v>30062917597151.891</v>
      </c>
      <c r="GW148" s="218">
        <f t="shared" si="247"/>
        <v>5185189140452.1953</v>
      </c>
      <c r="GX148" s="218">
        <f>MIN(intermediates!$B$88,FN148*intermediates!$B$87*GO148)</f>
        <v>1803775055829.1135</v>
      </c>
      <c r="GY148" s="218">
        <f t="shared" si="248"/>
        <v>1803775055829.1135</v>
      </c>
      <c r="GZ148" s="218">
        <f>MIN(intermediates!$B$88-GX148,intermediates!$B$87*data!GW148*FN148)</f>
        <v>2592594570226.0977</v>
      </c>
      <c r="HA148" s="218">
        <f t="shared" si="276"/>
        <v>2592594570226.0977</v>
      </c>
      <c r="HB148" s="218">
        <f t="shared" si="277"/>
        <v>4396369626055.2109</v>
      </c>
      <c r="HC148" s="218">
        <f t="shared" si="249"/>
        <v>6374109060574.1494</v>
      </c>
      <c r="HD148" s="218">
        <f>HC148*intermediates!$B$79/(10000*1000000000)</f>
        <v>423.0764178432525</v>
      </c>
      <c r="HE148" s="218">
        <f>(GV148*intermediates!$B$80+GV148*GL148*intermediates!$B$82)/(10000*1000000000)</f>
        <v>1120.8400979973803</v>
      </c>
      <c r="HF148" s="218">
        <f>GU148*intermediates!$B$78/(10000*1000000000)</f>
        <v>4619.6154707550731</v>
      </c>
      <c r="HG148" s="218">
        <f>HB148*intermediates!$B$81/(10000*1000000000)</f>
        <v>1105.0868969644025</v>
      </c>
      <c r="HH148" s="218">
        <f t="shared" si="250"/>
        <v>0</v>
      </c>
      <c r="HI148" s="218">
        <f t="shared" si="251"/>
        <v>15.448968845822719</v>
      </c>
      <c r="HJ148" s="218">
        <f t="shared" si="252"/>
        <v>-1.3592731086077947</v>
      </c>
      <c r="HK148" s="218">
        <f ca="1">SUM(HJ148:INDIRECT(ADDRESS(MAX(CELL("row",HJ148)-intermediates!$B$83,69),CELL("col",HJ148))))/intermediates!$B$83+SUM(HH148:INDIRECT(ADDRESS(MAX(CELL("row",HH148)-intermediates!$B$84,69),CELL("col",HH148))))/intermediates!$B$84+SUM(HI148:INDIRECT(ADDRESS(MAX(CELL("row",HI148)-intermediates!$B$85,69),CELL("col",HI148))))/intermediates!$B$85</f>
        <v>19.341814227363038</v>
      </c>
      <c r="HL148" s="218">
        <f t="shared" ca="1" si="278"/>
        <v>-244.87618494490198</v>
      </c>
      <c r="HM148" s="188">
        <f t="shared" si="253"/>
        <v>2092</v>
      </c>
      <c r="HQ148" s="185">
        <f t="shared" si="254"/>
        <v>841.14390550270195</v>
      </c>
      <c r="HR148" s="185">
        <f t="shared" si="255"/>
        <v>547.19218396523524</v>
      </c>
      <c r="HS148" s="185">
        <f t="shared" si="256"/>
        <v>390.04917310478106</v>
      </c>
      <c r="HT148" s="185">
        <f t="shared" si="257"/>
        <v>339.12035551075911</v>
      </c>
      <c r="HU148" s="185">
        <f t="shared" si="258"/>
        <v>319.59154379409546</v>
      </c>
      <c r="HV148" s="185">
        <f t="shared" si="259"/>
        <v>294.02422029056777</v>
      </c>
      <c r="HW148" s="185">
        <f t="shared" si="260"/>
        <v>587.29806684282903</v>
      </c>
      <c r="HX148" s="185">
        <f t="shared" si="261"/>
        <v>13.104673877158771</v>
      </c>
      <c r="HY148" s="185">
        <f t="shared" si="262"/>
        <v>161.19063552108182</v>
      </c>
      <c r="HZ148" s="185">
        <f t="shared" si="279"/>
        <v>3318.4194490109694</v>
      </c>
      <c r="IA148" s="185">
        <f t="shared" si="280"/>
        <v>3492.7147584092099</v>
      </c>
      <c r="IB148" s="185">
        <f t="shared" si="263"/>
        <v>2613.2301845738384</v>
      </c>
      <c r="IC148" s="185">
        <f t="shared" si="311"/>
        <v>3915.32044561886</v>
      </c>
      <c r="ID148" s="185">
        <f t="shared" si="264"/>
        <v>3151.6538818184117</v>
      </c>
      <c r="IE148" s="184">
        <f t="shared" si="281"/>
        <v>-0.18939294065612824</v>
      </c>
      <c r="IF148" s="184">
        <f t="shared" si="282"/>
        <v>-0.1340901326911631</v>
      </c>
    </row>
    <row r="149" spans="1:240" x14ac:dyDescent="0.3">
      <c r="A149" s="184">
        <v>2093</v>
      </c>
      <c r="E149" s="207">
        <v>7713118.2709999997</v>
      </c>
      <c r="F149" s="207">
        <v>10837182.077</v>
      </c>
      <c r="G149" s="207">
        <v>14838618.744999999</v>
      </c>
      <c r="I149" s="207">
        <f t="shared" si="284"/>
        <v>7713118271</v>
      </c>
      <c r="J149" s="207">
        <f t="shared" si="284"/>
        <v>10837182077</v>
      </c>
      <c r="K149" s="207">
        <f t="shared" si="284"/>
        <v>14838618745</v>
      </c>
      <c r="L149" s="187">
        <f>IF(intermediates!$B$4&gt;=2,(intermediates!$B$4-2)*K149+(1-(intermediates!$B$4-2))*J149,(intermediates!$B$4-1)*J149+(1-(intermediates!$B$4-1))*I149)</f>
        <v>12314750409.393465</v>
      </c>
      <c r="AJ149" s="184">
        <f>IF(intermediates!$B$46=0,$AJ$74+(intermediates!$B$15-$AJ$74)*MIN(1,(data!A149-data!$A$74)/(intermediates!$B$32-data!$A$74)),IF(A149&lt;2021,$AJ$74+(intermediates!$B$15-$AJ$74)*MIN(1,(data!A149-data!$A$74)/(intermediates!$B$32-data!$A$74)),intermediates!$B$47+(intermediates!$B$15-intermediates!$B$47)*MIN(1,(data!A149-$A$77)/(intermediates!$B$32-$A$77))))</f>
        <v>27400</v>
      </c>
      <c r="AK149" s="192">
        <f t="shared" si="285"/>
        <v>27400</v>
      </c>
      <c r="AL149" s="192">
        <f t="shared" ref="AL149:AL156" si="321">AK149*L149</f>
        <v>337424161217380.94</v>
      </c>
      <c r="AM149" s="192">
        <f>data!AL149/(1000000*conversions!$C$1)</f>
        <v>28922.070961489797</v>
      </c>
      <c r="AN149" s="192">
        <f>IF(intermediates!$B$13=1,($AJ$74+(27400-$AJ$74)*MIN(1,(data!A149-data!$A$74)/(intermediates!$B$32-data!$A$74)))*L149/(1000000*conversions!$C$1),data!AM149)</f>
        <v>28922.070961489797</v>
      </c>
      <c r="AV149" s="214">
        <f>IF(A149&lt;intermediates!$B$29,0,IF(A149&lt;intermediates!$B$31,(data!A149-intermediates!$B$29)*intermediates!$B$26/(intermediates!$B$31-intermediates!$B$29),intermediates!$B$26))</f>
        <v>10</v>
      </c>
      <c r="AW149" s="212">
        <f>MIN(AW148+intermediates!$B$16,intermediates!$B$17*data!$AW$74)</f>
        <v>1897.5897864678325</v>
      </c>
      <c r="AX149" s="212">
        <f>AV149*1000/conversions!$C$16/intermediates!$B$40</f>
        <v>8187.0584968062822</v>
      </c>
      <c r="AY149" s="212">
        <f>AX149*(1-intermediates!$B$39)*intermediates!$B$28/(conversions!$C$2)</f>
        <v>2143.0300372958864</v>
      </c>
      <c r="AZ149" s="213">
        <f>IF(A149&lt;intermediates!$B$29,0,MIN(intermediates!$B$25,intermediates!$B$25*(A149-intermediates!$B$29)/(intermediates!$B$31-intermediates!$B$29)))</f>
        <v>0</v>
      </c>
      <c r="BA149" s="212">
        <f>IF(A149&lt;intermediates!$B$29,data!$BA$74,IF(intermediates!$B$23&gt;data!$BA$74,MIN(intermediates!$B$23,data!$BA$74+(intermediates!$B$23-data!$BA$74)*((data!A149-intermediates!$B$29)/(intermediates!$B$31-intermediates!$B$29))),MAX(intermediates!$B$23,data!$BA$74+(intermediates!$B$23-data!$BA$74)*((data!A149-intermediates!$B$29)/(intermediates!$B$31-intermediates!$B$29)))))</f>
        <v>0.08</v>
      </c>
      <c r="BB149" s="212">
        <f t="shared" si="286"/>
        <v>2313.765676919184</v>
      </c>
      <c r="BC149" s="212">
        <f t="shared" si="303"/>
        <v>2313.765676919184</v>
      </c>
      <c r="BD149" s="212">
        <f t="shared" si="304"/>
        <v>0</v>
      </c>
      <c r="BE149" s="214">
        <f>MAX(0,MIN(1,(data!A149-intermediates!$B$29)/(intermediates!$B$31-intermediates!$B$29)))*((intermediates!$B$38*L149)-$BE$69*1000000000)/1000000000+$BE$69</f>
        <v>1539.343801174183</v>
      </c>
      <c r="BF149" s="214">
        <f t="shared" si="237"/>
        <v>1539.343801174183</v>
      </c>
      <c r="BG149" s="214">
        <f t="shared" si="305"/>
        <v>0</v>
      </c>
      <c r="BH149" s="214">
        <f>BD149*conversions!$C$2/conversions!$C$17+BG149*conversions!$C$6/conversions!$C$10</f>
        <v>0</v>
      </c>
      <c r="BI149" s="214">
        <f>BH149*intermediates!$B$41*conversions!$C$11/(conversions!$C$2*conversions!$C$6*intermediates!$B$42)</f>
        <v>0</v>
      </c>
      <c r="BJ149" s="214">
        <f>BH149*intermediates!$B$43/(conversions!$C$1*intermediates!$B$42)</f>
        <v>0</v>
      </c>
      <c r="BK149" s="214">
        <f t="shared" si="287"/>
        <v>0</v>
      </c>
      <c r="BL149" s="214">
        <f t="shared" si="288"/>
        <v>28922.070961489797</v>
      </c>
      <c r="BM149" s="214">
        <f t="shared" si="289"/>
        <v>22567.685460806893</v>
      </c>
      <c r="BN149" s="214">
        <f>IF(A149&lt;intermediates!$B$29,MIN(BO148+intermediates!$B$33*AN148),MIN(BO148*intermediates!$B$35,BO148+intermediates!$B$37*AN148))</f>
        <v>23334.144789804835</v>
      </c>
      <c r="BO149" s="212">
        <f>IF(A149&lt;intermediates!$B$29,MIN(BM149,BO148+intermediates!$B$33*AN148),MIN(BM149,BO148*intermediates!$B$35,BO148+intermediates!$B$37*AN148))</f>
        <v>22567.685460806893</v>
      </c>
      <c r="BP149" s="214">
        <f t="shared" si="290"/>
        <v>766.45932899794207</v>
      </c>
      <c r="BQ149" s="214">
        <f t="shared" si="291"/>
        <v>0</v>
      </c>
      <c r="BR149" s="212" t="str">
        <f t="shared" ref="BR149:BR156" si="322">IF(AND(BQ149&gt;0,BQ150=0),A150,"")</f>
        <v/>
      </c>
      <c r="BS149" s="212">
        <f>BP149*conversions!$C$1*intermediates!$B$42/intermediates!$B$43</f>
        <v>1710.6425581938702</v>
      </c>
      <c r="BT149" s="214">
        <f>MIN(BT148+BS149,intermediates!$B$27*1000)</f>
        <v>0</v>
      </c>
      <c r="BU149" s="219" t="str">
        <f>IF(AND(BT149=intermediates!$B$27*1000,BT148&lt;&gt;intermediates!$B$27*1000),A149,"")</f>
        <v/>
      </c>
      <c r="BV149" s="212">
        <f>BT149*intermediates!$B$43/(conversions!$C$1*intermediates!$B$42)</f>
        <v>0</v>
      </c>
      <c r="BW149" s="214">
        <f t="shared" si="292"/>
        <v>28922.070961489797</v>
      </c>
      <c r="BX149" s="214">
        <f t="shared" si="293"/>
        <v>22567.685460806893</v>
      </c>
      <c r="BY149" s="227">
        <f>IF(OR(BQ149&gt;0,BT149&lt;&gt;intermediates!$B$27*1000),MAX(0,(BX149-BX148)/AM148),0.000000000001)</f>
        <v>9.9999999999999998E-13</v>
      </c>
      <c r="BZ149" s="322">
        <f>BH149*intermediates!$B$49*1000000</f>
        <v>0</v>
      </c>
      <c r="CA149" s="322">
        <f>BI149*conversions!$C$1*1000000*intermediates!$B$50</f>
        <v>0</v>
      </c>
      <c r="CB149" s="322">
        <f>BT149*1000000*intermediates!$B$49</f>
        <v>0</v>
      </c>
      <c r="CC149" s="214">
        <f>BW149*conversions!$C$1*1000000/L149</f>
        <v>27400</v>
      </c>
      <c r="CD149" s="173">
        <f t="shared" si="239"/>
        <v>2093</v>
      </c>
      <c r="CE149" s="173"/>
      <c r="CF149" s="173"/>
      <c r="CG149" s="173"/>
      <c r="CH149" s="173"/>
      <c r="CI149" s="173">
        <f t="shared" si="294"/>
        <v>0</v>
      </c>
      <c r="CJ149" s="173">
        <f t="shared" si="295"/>
        <v>1897.5897864678325</v>
      </c>
      <c r="CK149" s="173">
        <f t="shared" si="296"/>
        <v>2313.765676919184</v>
      </c>
      <c r="CL149" s="173">
        <f t="shared" si="297"/>
        <v>2143.0300372958864</v>
      </c>
      <c r="CM149" s="173"/>
      <c r="CN149" s="173"/>
      <c r="CO149" s="329">
        <f t="shared" si="306"/>
        <v>22567.685460806893</v>
      </c>
      <c r="CP149" s="174">
        <f t="shared" si="298"/>
        <v>0</v>
      </c>
      <c r="CQ149" s="228">
        <f t="shared" si="299"/>
        <v>10</v>
      </c>
      <c r="CR149" s="228">
        <f t="shared" si="307"/>
        <v>575</v>
      </c>
      <c r="CS149" s="214">
        <f t="shared" ca="1" si="300"/>
        <v>-29.642108222935587</v>
      </c>
      <c r="CT149" s="190">
        <f t="shared" ca="1" si="301"/>
        <v>-2.4070409255168608</v>
      </c>
      <c r="CU149" s="190">
        <f t="shared" ref="CU149:CU156" ca="1" si="323">CT149*L149/1000000000</f>
        <v>-29.642108222935587</v>
      </c>
      <c r="CV149" s="198">
        <f t="shared" si="308"/>
        <v>3203.9310777670239</v>
      </c>
      <c r="CW149" s="198">
        <f t="shared" ca="1" si="309"/>
        <v>3796.8898451957907</v>
      </c>
      <c r="CX149" s="198">
        <f t="shared" ca="1" si="302"/>
        <v>2854.1651544889933</v>
      </c>
      <c r="CY149" s="198">
        <f t="shared" ca="1" si="310"/>
        <v>-942.72469070679813</v>
      </c>
      <c r="CZ149" s="199">
        <f ca="1">IF(CX149&lt;intermediates!$B$55,intermediates!$B$56+(CX149-intermediates!$B$55)*intermediates!$B$53,intermediates!$B$56+(data!CX149-intermediates!$B$55)*intermediates!$B$58)</f>
        <v>1.5211859042938831</v>
      </c>
      <c r="DG149" s="201">
        <f>IF(A149&gt;MAX(intermediates!B$31,intermediates!$B$32),DG148,DG148+intermediates!$B$60*DG$73)</f>
        <v>19505207416250</v>
      </c>
      <c r="DH149" s="201">
        <f>IF(A149&gt;MAX(intermediates!B$31,intermediates!$B$32),DH148,DH148+intermediates!$B$61*DH$73)</f>
        <v>28534082329375</v>
      </c>
      <c r="DI149" s="201">
        <f>IF(A149&gt;MAX(intermediates!B$31,intermediates!$B$32),DI148,DI148+intermediates!$B$62*DI$73)</f>
        <v>38669431049000</v>
      </c>
      <c r="DJ149" s="221"/>
      <c r="EE149" s="218"/>
      <c r="EF149" s="212">
        <f>$EF$69+intermediates!$B$90*(A149-2013)*intermediates!$B$92+intermediates!$B$91*intermediates!$B$92*(A149-2013)^2</f>
        <v>3166.0102885492188</v>
      </c>
      <c r="EH149" s="212">
        <f>IF(A149&lt;intermediates!$B$29,data!EH148,IF(A149&lt;intermediates!$B$31,data!$EH$69+(intermediates!$B$93-data!$EH$69)*(data!A149-intermediates!$B$29)/(intermediates!$B$31-intermediates!$B$29),intermediates!$B$93))</f>
        <v>2.522212345090466E-2</v>
      </c>
      <c r="EI149" s="212">
        <f t="shared" si="265"/>
        <v>2.522212345090466E-2</v>
      </c>
      <c r="EN149" s="218"/>
      <c r="EO149" s="212">
        <f t="shared" si="266"/>
        <v>3086.1567862045958</v>
      </c>
      <c r="EQ149" s="212">
        <f t="shared" si="267"/>
        <v>79.853502344622939</v>
      </c>
      <c r="ET149" s="214">
        <f>IF(A149&lt;intermediates!$B$29,ET148+intermediates!$B$63,ET148+intermediates!$B$63*intermediates!$B$67)</f>
        <v>1583.7987140496532</v>
      </c>
      <c r="EU149" s="215">
        <f t="shared" si="268"/>
        <v>1583.7987140496532</v>
      </c>
      <c r="EV149" s="216">
        <f>data!EU149*conversions!$C$13</f>
        <v>1.8419579044397467</v>
      </c>
      <c r="EX149" s="212">
        <f>intermediates!$B$64+intermediates!$B$64*(EXP(-(data!A149-intermediates!$B$66)/intermediates!$B$65)-1)</f>
        <v>4.8950086638511713E-3</v>
      </c>
      <c r="EY149" s="217">
        <f>IF(A149&lt;intermediates!$B$29,data!EX149,data!EY148+(data!EX149-data!EX148)*intermediates!$B$68)</f>
        <v>4.8950086638511713E-3</v>
      </c>
      <c r="EZ149" s="217">
        <f t="shared" si="269"/>
        <v>4.8950086638511713E-3</v>
      </c>
      <c r="FB149" s="212">
        <f>intermediates!$B$94+intermediates!$B$95+(intermediates!$B$95*(EXP(-(data!A149-intermediates!$B$97)/intermediates!$B$96)-1))</f>
        <v>1.5385582534781355</v>
      </c>
      <c r="FC149" s="217">
        <f>IF(A149&lt;intermediates!$B$29,data!FB149,data!FC148+(data!FB149-data!FB148)*intermediates!$B$68)</f>
        <v>1.5385582534781355</v>
      </c>
      <c r="FD149" s="212">
        <f t="shared" si="270"/>
        <v>1.5385582534781355</v>
      </c>
      <c r="FF149" s="184">
        <f>intermediates!$B$98+intermediates!$B$99*EXP(-(A149-intermediates!$B$101)/intermediates!$B$100)</f>
        <v>0.90164274315833448</v>
      </c>
      <c r="FG149" s="184">
        <f t="shared" si="240"/>
        <v>0.90164274315833448</v>
      </c>
      <c r="FI149" s="184">
        <f>intermediates!$B$102+intermediates!$B$103*EXP(-(A149-intermediates!$B$105)/intermediates!$B$104)</f>
        <v>1.4196904518188747E-2</v>
      </c>
      <c r="FJ149" s="184">
        <f t="shared" si="271"/>
        <v>1.4196904518188747E-2</v>
      </c>
      <c r="FL149" s="184">
        <f>intermediates!$B$106</f>
        <v>4.5616870531049965E-2</v>
      </c>
      <c r="FM149" s="184">
        <f t="shared" si="272"/>
        <v>4.5616870531049965E-2</v>
      </c>
      <c r="FN149" s="218">
        <f>IF(A149&lt;intermediates!$B$29,0,IF(A149&lt;intermediates!$B$31,(data!A149-intermediates!$B$29)/(intermediates!$B$31-intermediates!$B$29),1))</f>
        <v>1</v>
      </c>
      <c r="FO149" s="218">
        <f t="shared" si="312"/>
        <v>358932222001830.81</v>
      </c>
      <c r="FP149" s="218">
        <f t="shared" si="313"/>
        <v>398086963739694.75</v>
      </c>
      <c r="FQ149" s="218">
        <f t="shared" si="314"/>
        <v>1948639136472.0129</v>
      </c>
      <c r="FR149" s="218">
        <f t="shared" si="315"/>
        <v>612479983663758.63</v>
      </c>
      <c r="FS149" s="218">
        <f t="shared" si="316"/>
        <v>386715798055.98767</v>
      </c>
      <c r="FT149" s="218">
        <f>intermediates!$B$69*data!EU149/intermediates!$B$71</f>
        <v>4.0312963770339971</v>
      </c>
      <c r="FU149" s="218">
        <f>BC149*conversions!$C$1*1000000</f>
        <v>26993932897390.477</v>
      </c>
      <c r="FV149" s="218">
        <f t="shared" si="320"/>
        <v>6696092366508.4395</v>
      </c>
      <c r="FX149" s="221"/>
      <c r="FY149" s="221"/>
      <c r="FZ149" s="221"/>
      <c r="GA149" s="218">
        <f t="shared" si="241"/>
        <v>1539.343801174183</v>
      </c>
      <c r="GB149" s="218">
        <f>GA149*1000000*10000*intermediates!$B$71/(intermediates!$B$72*data!EU149)</f>
        <v>4773104161801.748</v>
      </c>
      <c r="GC149" s="218">
        <f t="shared" si="317"/>
        <v>8758636009972.4775</v>
      </c>
      <c r="GD149" s="218">
        <f t="shared" si="283"/>
        <v>20614548336338.652</v>
      </c>
      <c r="GE149" s="218">
        <f t="shared" si="318"/>
        <v>21926026769237.402</v>
      </c>
      <c r="GF149" s="218">
        <f t="shared" si="319"/>
        <v>311281708506.11389</v>
      </c>
      <c r="GG149" s="218">
        <f t="shared" si="273"/>
        <v>1000196724392.6383</v>
      </c>
      <c r="GH149" s="218">
        <f t="shared" si="242"/>
        <v>8985263433531.9199</v>
      </c>
      <c r="GI149" s="218">
        <f t="shared" si="274"/>
        <v>160088374496.54492</v>
      </c>
      <c r="GJ149" s="218">
        <f>ET149*intermediates!$B$73/intermediates!$B$71</f>
        <v>6.0469445655509961</v>
      </c>
      <c r="GK149" s="218">
        <f>CL149*conversions!$C$1*1000000/data!GJ149</f>
        <v>4134652936000.1108</v>
      </c>
      <c r="GL149" s="218">
        <f>MIN(1,FN149)*(intermediates!$B$75-data!$GL$69)+data!$GL$69</f>
        <v>1</v>
      </c>
      <c r="GM149" s="218">
        <f>GL149*intermediates!$B$74*(FS149+GC149+GK149+GG149+GF149+GB149+FV149)</f>
        <v>3909101955785.6274</v>
      </c>
      <c r="GN149" s="218">
        <f>MIN(1,FN149)*intermediates!$B$76</f>
        <v>0.12</v>
      </c>
      <c r="GO149" s="218">
        <f t="shared" si="275"/>
        <v>3596373799322.7773</v>
      </c>
      <c r="GP149" s="218">
        <f>IF(A149&gt;intermediates!$B$29,MIN(1,(A149-intermediates!$B$29)/(intermediates!$B$31-intermediates!$B$29))*intermediates!$B$77,0)</f>
        <v>0.15</v>
      </c>
      <c r="GQ149" s="218">
        <f>IF(AND(A149&gt;intermediates!$B$29+intermediates!$B$30,data!GP149&lt;intermediates!$B$77),1,0)</f>
        <v>0</v>
      </c>
      <c r="GR149" s="218">
        <f t="shared" si="243"/>
        <v>7205893461843.75</v>
      </c>
      <c r="GS149" s="218">
        <f t="shared" si="244"/>
        <v>42720688058661.68</v>
      </c>
      <c r="GT149" s="218">
        <f t="shared" si="238"/>
        <v>86708720794625</v>
      </c>
      <c r="GU149" s="218">
        <f t="shared" si="245"/>
        <v>45875324510843.75</v>
      </c>
      <c r="GV149" s="218">
        <f t="shared" si="246"/>
        <v>29969781661023.141</v>
      </c>
      <c r="GW149" s="218">
        <f t="shared" si="247"/>
        <v>5318601686963.3203</v>
      </c>
      <c r="GX149" s="218">
        <f>MIN(intermediates!$B$88,FN149*intermediates!$B$87*GO149)</f>
        <v>1798186899661.3887</v>
      </c>
      <c r="GY149" s="218">
        <f t="shared" si="248"/>
        <v>1798186899661.3887</v>
      </c>
      <c r="GZ149" s="218">
        <f>MIN(intermediates!$B$88-GX149,intermediates!$B$87*data!GW149*FN149)</f>
        <v>2659300843481.6602</v>
      </c>
      <c r="HA149" s="218">
        <f t="shared" si="276"/>
        <v>2659300843481.6602</v>
      </c>
      <c r="HB149" s="218">
        <f t="shared" si="277"/>
        <v>4457487743143.0488</v>
      </c>
      <c r="HC149" s="218">
        <f t="shared" si="249"/>
        <v>6406126879615.0615</v>
      </c>
      <c r="HD149" s="218">
        <f>HC149*intermediates!$B$79/(10000*1000000000)</f>
        <v>425.20157510966459</v>
      </c>
      <c r="HE149" s="218">
        <f>(GV149*intermediates!$B$80+GV149*GL149*intermediates!$B$82)/(10000*1000000000)</f>
        <v>1117.3676974414373</v>
      </c>
      <c r="HF149" s="218">
        <f>GU149*intermediates!$B$78/(10000*1000000000)</f>
        <v>4619.6154707550731</v>
      </c>
      <c r="HG149" s="218">
        <f>HB149*intermediates!$B$81/(10000*1000000000)</f>
        <v>1120.4497613515605</v>
      </c>
      <c r="HH149" s="218">
        <f t="shared" si="250"/>
        <v>0</v>
      </c>
      <c r="HI149" s="218">
        <f t="shared" si="251"/>
        <v>15.36286438715797</v>
      </c>
      <c r="HJ149" s="218">
        <f t="shared" si="252"/>
        <v>-1.3472432895309794</v>
      </c>
      <c r="HK149" s="218">
        <f ca="1">SUM(HJ149:INDIRECT(ADDRESS(MAX(CELL("row",HJ149)-intermediates!$B$83,69),CELL("col",HJ149))))/intermediates!$B$83+SUM(HH149:INDIRECT(ADDRESS(MAX(CELL("row",HH149)-intermediates!$B$84,69),CELL("col",HH149))))/intermediates!$B$84+SUM(HI149:INDIRECT(ADDRESS(MAX(CELL("row",HI149)-intermediates!$B$85,69),CELL("col",HI149))))/intermediates!$B$85</f>
        <v>19.642108222935587</v>
      </c>
      <c r="HL149" s="218">
        <f t="shared" ca="1" si="278"/>
        <v>-225.2340767219664</v>
      </c>
      <c r="HM149" s="188">
        <f t="shared" si="253"/>
        <v>2093</v>
      </c>
      <c r="HQ149" s="185">
        <f t="shared" si="254"/>
        <v>836.13078009088247</v>
      </c>
      <c r="HR149" s="185">
        <f t="shared" si="255"/>
        <v>543.74568252725476</v>
      </c>
      <c r="HS149" s="185">
        <f t="shared" si="256"/>
        <v>387.59244021388463</v>
      </c>
      <c r="HT149" s="185">
        <f t="shared" si="257"/>
        <v>335.74800938281896</v>
      </c>
      <c r="HU149" s="185">
        <f t="shared" si="258"/>
        <v>317.43249565203013</v>
      </c>
      <c r="HV149" s="185">
        <f t="shared" si="259"/>
        <v>292.03789599986771</v>
      </c>
      <c r="HW149" s="185">
        <f t="shared" si="260"/>
        <v>585.14328121073629</v>
      </c>
      <c r="HX149" s="185">
        <f t="shared" si="261"/>
        <v>12.999725465360017</v>
      </c>
      <c r="HY149" s="185">
        <f t="shared" si="262"/>
        <v>158.23618601198987</v>
      </c>
      <c r="HZ149" s="185">
        <f t="shared" si="279"/>
        <v>3297.8305850774746</v>
      </c>
      <c r="IA149" s="185">
        <f t="shared" si="280"/>
        <v>3469.0664965548244</v>
      </c>
      <c r="IB149" s="185">
        <f t="shared" si="263"/>
        <v>2613.2301845738384</v>
      </c>
      <c r="IC149" s="185">
        <f t="shared" si="311"/>
        <v>3900.9552080715753</v>
      </c>
      <c r="ID149" s="185">
        <f t="shared" si="264"/>
        <v>3140.0905226226646</v>
      </c>
      <c r="IE149" s="184">
        <f t="shared" si="281"/>
        <v>-0.1920723681845832</v>
      </c>
      <c r="IF149" s="184">
        <f t="shared" si="282"/>
        <v>-0.13754021051470486</v>
      </c>
    </row>
    <row r="150" spans="1:240" x14ac:dyDescent="0.3">
      <c r="A150" s="211">
        <v>2094</v>
      </c>
      <c r="E150" s="207">
        <v>7659308.5820000004</v>
      </c>
      <c r="F150" s="207">
        <v>10844878.798</v>
      </c>
      <c r="G150" s="207">
        <v>14946984.755000001</v>
      </c>
      <c r="I150" s="207">
        <f t="shared" si="284"/>
        <v>7659308582</v>
      </c>
      <c r="J150" s="207">
        <f t="shared" si="284"/>
        <v>10844878798</v>
      </c>
      <c r="K150" s="207">
        <f t="shared" si="284"/>
        <v>14946984755</v>
      </c>
      <c r="L150" s="187">
        <f>IF(intermediates!$B$4&gt;=2,(intermediates!$B$4-2)*K150+(1-(intermediates!$B$4-2))*J150,(intermediates!$B$4-1)*J150+(1-(intermediates!$B$4-1))*I150)</f>
        <v>12359620217.415062</v>
      </c>
      <c r="AJ150" s="184">
        <f>IF(intermediates!$B$46=0,$AJ$74+(intermediates!$B$15-$AJ$74)*MIN(1,(data!A150-data!$A$74)/(intermediates!$B$32-data!$A$74)),IF(A150&lt;2021,$AJ$74+(intermediates!$B$15-$AJ$74)*MIN(1,(data!A150-data!$A$74)/(intermediates!$B$32-data!$A$74)),intermediates!$B$47+(intermediates!$B$15-intermediates!$B$47)*MIN(1,(data!A150-$A$77)/(intermediates!$B$32-$A$77))))</f>
        <v>27400</v>
      </c>
      <c r="AK150" s="192">
        <f t="shared" si="285"/>
        <v>27400</v>
      </c>
      <c r="AL150" s="192">
        <f t="shared" si="321"/>
        <v>338653593957172.69</v>
      </c>
      <c r="AM150" s="192">
        <f>data!AL150/(1000000*conversions!$C$1)</f>
        <v>29027.450910614803</v>
      </c>
      <c r="AN150" s="192">
        <f>IF(intermediates!$B$13=1,($AJ$74+(27400-$AJ$74)*MIN(1,(data!A150-data!$A$74)/(intermediates!$B$32-data!$A$74)))*L150/(1000000*conversions!$C$1),data!AM150)</f>
        <v>29027.450910614803</v>
      </c>
      <c r="AV150" s="214">
        <f>IF(A150&lt;intermediates!$B$29,0,IF(A150&lt;intermediates!$B$31,(data!A150-intermediates!$B$29)*intermediates!$B$26/(intermediates!$B$31-intermediates!$B$29),intermediates!$B$26))</f>
        <v>10</v>
      </c>
      <c r="AW150" s="212">
        <f>MIN(AW149+intermediates!$B$16,intermediates!$B$17*data!$AW$74)</f>
        <v>1897.5897864678325</v>
      </c>
      <c r="AX150" s="212">
        <f>AV150*1000/conversions!$C$16/intermediates!$B$40</f>
        <v>8187.0584968062822</v>
      </c>
      <c r="AY150" s="212">
        <f>AX150*(1-intermediates!$B$39)*intermediates!$B$28/(conversions!$C$2)</f>
        <v>2143.0300372958864</v>
      </c>
      <c r="AZ150" s="213">
        <f>IF(A150&lt;intermediates!$B$29,0,MIN(intermediates!$B$25,intermediates!$B$25*(A150-intermediates!$B$29)/(intermediates!$B$31-intermediates!$B$29)))</f>
        <v>0</v>
      </c>
      <c r="BA150" s="212">
        <f>IF(A150&lt;intermediates!$B$29,data!$BA$74,IF(intermediates!$B$23&gt;data!$BA$74,MIN(intermediates!$B$23,data!$BA$74+(intermediates!$B$23-data!$BA$74)*((data!A150-intermediates!$B$29)/(intermediates!$B$31-intermediates!$B$29))),MAX(intermediates!$B$23,data!$BA$74+(intermediates!$B$23-data!$BA$74)*((data!A150-intermediates!$B$29)/(intermediates!$B$31-intermediates!$B$29)))))</f>
        <v>0.08</v>
      </c>
      <c r="BB150" s="212">
        <f t="shared" si="286"/>
        <v>2322.1960728491845</v>
      </c>
      <c r="BC150" s="212">
        <f t="shared" si="303"/>
        <v>2322.1960728491845</v>
      </c>
      <c r="BD150" s="212">
        <f t="shared" si="304"/>
        <v>0</v>
      </c>
      <c r="BE150" s="214">
        <f>MAX(0,MIN(1,(data!A150-intermediates!$B$29)/(intermediates!$B$31-intermediates!$B$29)))*((intermediates!$B$38*L150)-$BE$69*1000000000)/1000000000+$BE$69</f>
        <v>1544.9525271768828</v>
      </c>
      <c r="BF150" s="214">
        <f t="shared" si="237"/>
        <v>1544.9525271768828</v>
      </c>
      <c r="BG150" s="214">
        <f t="shared" si="305"/>
        <v>0</v>
      </c>
      <c r="BH150" s="214">
        <f>BD150*conversions!$C$2/conversions!$C$17+BG150*conversions!$C$6/conversions!$C$10</f>
        <v>0</v>
      </c>
      <c r="BI150" s="214">
        <f>BH150*intermediates!$B$41*conversions!$C$11/(conversions!$C$2*conversions!$C$6*intermediates!$B$42)</f>
        <v>0</v>
      </c>
      <c r="BJ150" s="214">
        <f>BH150*intermediates!$B$43/(conversions!$C$1*intermediates!$B$42)</f>
        <v>0</v>
      </c>
      <c r="BK150" s="214">
        <f t="shared" si="287"/>
        <v>0</v>
      </c>
      <c r="BL150" s="214">
        <f t="shared" si="288"/>
        <v>29027.450910614803</v>
      </c>
      <c r="BM150" s="214">
        <f t="shared" si="289"/>
        <v>22664.635014001899</v>
      </c>
      <c r="BN150" s="214">
        <f>IF(A150&lt;intermediates!$B$29,MIN(BO149+intermediates!$B$33*AN149),MIN(BO149*intermediates!$B$35,BO149+intermediates!$B$37*AN149))</f>
        <v>23434.952149925572</v>
      </c>
      <c r="BO150" s="212">
        <f>IF(A150&lt;intermediates!$B$29,MIN(BM150,BO149+intermediates!$B$33*AN149),MIN(BM150,BO149*intermediates!$B$35,BO149+intermediates!$B$37*AN149))</f>
        <v>22664.635014001899</v>
      </c>
      <c r="BP150" s="214">
        <f t="shared" si="290"/>
        <v>770.31713592367305</v>
      </c>
      <c r="BQ150" s="214">
        <f t="shared" si="291"/>
        <v>0</v>
      </c>
      <c r="BR150" s="212" t="str">
        <f t="shared" si="322"/>
        <v/>
      </c>
      <c r="BS150" s="212">
        <f>BP150*conversions!$C$1*intermediates!$B$42/intermediates!$B$43</f>
        <v>1719.2527067807214</v>
      </c>
      <c r="BT150" s="214">
        <f>MIN(BT149+BS150,intermediates!$B$27*1000)</f>
        <v>0</v>
      </c>
      <c r="BU150" s="219" t="str">
        <f>IF(AND(BT150=intermediates!$B$27*1000,BT149&lt;&gt;intermediates!$B$27*1000),A150,"")</f>
        <v/>
      </c>
      <c r="BV150" s="212">
        <f>BT150*intermediates!$B$43/(conversions!$C$1*intermediates!$B$42)</f>
        <v>0</v>
      </c>
      <c r="BW150" s="214">
        <f t="shared" si="292"/>
        <v>29027.450910614803</v>
      </c>
      <c r="BX150" s="214">
        <f t="shared" si="293"/>
        <v>22664.635014001899</v>
      </c>
      <c r="BY150" s="227">
        <f>IF(OR(BQ150&gt;0,BT150&lt;&gt;intermediates!$B$27*1000),MAX(0,(BX150-BX149)/AM149),0.000000000001)</f>
        <v>9.9999999999999998E-13</v>
      </c>
      <c r="BZ150" s="322">
        <f>BH150*intermediates!$B$49*1000000</f>
        <v>0</v>
      </c>
      <c r="CA150" s="322">
        <f>BI150*conversions!$C$1*1000000*intermediates!$B$50</f>
        <v>0</v>
      </c>
      <c r="CB150" s="322">
        <f>BT150*1000000*intermediates!$B$49</f>
        <v>0</v>
      </c>
      <c r="CC150" s="214">
        <f>BW150*conversions!$C$1*1000000/L150</f>
        <v>27400</v>
      </c>
      <c r="CD150" s="173">
        <f t="shared" si="239"/>
        <v>2094</v>
      </c>
      <c r="CE150" s="173"/>
      <c r="CF150" s="173"/>
      <c r="CG150" s="173"/>
      <c r="CH150" s="173"/>
      <c r="CI150" s="173">
        <f t="shared" si="294"/>
        <v>0</v>
      </c>
      <c r="CJ150" s="173">
        <f t="shared" si="295"/>
        <v>1897.5897864678325</v>
      </c>
      <c r="CK150" s="173">
        <f t="shared" si="296"/>
        <v>2322.1960728491845</v>
      </c>
      <c r="CL150" s="173">
        <f t="shared" si="297"/>
        <v>2143.0300372958864</v>
      </c>
      <c r="CM150" s="173"/>
      <c r="CN150" s="173"/>
      <c r="CO150" s="329">
        <f t="shared" si="306"/>
        <v>22664.635014001899</v>
      </c>
      <c r="CP150" s="174">
        <f t="shared" si="298"/>
        <v>0</v>
      </c>
      <c r="CQ150" s="228">
        <f t="shared" si="299"/>
        <v>10</v>
      </c>
      <c r="CR150" s="228">
        <f t="shared" si="307"/>
        <v>585</v>
      </c>
      <c r="CS150" s="214">
        <f t="shared" ca="1" si="300"/>
        <v>-29.941683824236229</v>
      </c>
      <c r="CT150" s="190">
        <f t="shared" ca="1" si="301"/>
        <v>-2.4225407656173394</v>
      </c>
      <c r="CU150" s="190">
        <f t="shared" ca="1" si="323"/>
        <v>-29.941683824236232</v>
      </c>
      <c r="CV150" s="198">
        <f t="shared" si="308"/>
        <v>3203.9310777670239</v>
      </c>
      <c r="CW150" s="198">
        <f t="shared" ca="1" si="309"/>
        <v>3796.8898451957907</v>
      </c>
      <c r="CX150" s="198">
        <f t="shared" ca="1" si="302"/>
        <v>2824.2234706647569</v>
      </c>
      <c r="CY150" s="198">
        <f t="shared" ca="1" si="310"/>
        <v>-972.66637453103431</v>
      </c>
      <c r="CZ150" s="199">
        <f ca="1">IF(CX150&lt;intermediates!$B$55,intermediates!$B$56+(CX150-intermediates!$B$55)*intermediates!$B$53,intermediates!$B$56+(data!CX150-intermediates!$B$55)*intermediates!$B$58)</f>
        <v>1.5049036256814394</v>
      </c>
      <c r="DG150" s="201">
        <f>IF(A150&gt;MAX(intermediates!B$31,intermediates!$B$32),DG149,DG149+intermediates!$B$60*DG$73)</f>
        <v>19505207416250</v>
      </c>
      <c r="DH150" s="201">
        <f>IF(A150&gt;MAX(intermediates!B$31,intermediates!$B$32),DH149,DH149+intermediates!$B$61*DH$73)</f>
        <v>28534082329375</v>
      </c>
      <c r="DI150" s="201">
        <f>IF(A150&gt;MAX(intermediates!B$31,intermediates!$B$32),DI149,DI149+intermediates!$B$62*DI$73)</f>
        <v>38669431049000</v>
      </c>
      <c r="DJ150" s="221"/>
      <c r="EE150" s="218"/>
      <c r="EF150" s="212">
        <f>$EF$69+intermediates!$B$90*(A150-2013)*intermediates!$B$92+intermediates!$B$91*intermediates!$B$92*(A150-2013)^2</f>
        <v>3167.4287785492188</v>
      </c>
      <c r="EH150" s="212">
        <f>IF(A150&lt;intermediates!$B$29,data!EH149,IF(A150&lt;intermediates!$B$31,data!$EH$69+(intermediates!$B$93-data!$EH$69)*(data!A150-intermediates!$B$29)/(intermediates!$B$31-intermediates!$B$29),intermediates!$B$93))</f>
        <v>2.522212345090466E-2</v>
      </c>
      <c r="EI150" s="212">
        <f t="shared" si="265"/>
        <v>2.522212345090466E-2</v>
      </c>
      <c r="EN150" s="218"/>
      <c r="EO150" s="212">
        <f t="shared" si="266"/>
        <v>3087.5394988747021</v>
      </c>
      <c r="EQ150" s="212">
        <f t="shared" si="267"/>
        <v>79.889279674516729</v>
      </c>
      <c r="ET150" s="214">
        <f>IF(A150&lt;intermediates!$B$29,ET149+intermediates!$B$63,ET149+intermediates!$B$63*intermediates!$B$67)</f>
        <v>1593.774303441096</v>
      </c>
      <c r="EU150" s="215">
        <f t="shared" si="268"/>
        <v>1593.774303441096</v>
      </c>
      <c r="EV150" s="216">
        <f>data!EU150*conversions!$C$13</f>
        <v>1.8535595149019946</v>
      </c>
      <c r="EX150" s="212">
        <f>intermediates!$B$64+intermediates!$B$64*(EXP(-(data!A150-intermediates!$B$66)/intermediates!$B$65)-1)</f>
        <v>4.8040080713735549E-3</v>
      </c>
      <c r="EY150" s="217">
        <f>IF(A150&lt;intermediates!$B$29,data!EX150,data!EY149+(data!EX150-data!EX149)*intermediates!$B$68)</f>
        <v>4.8040080713735549E-3</v>
      </c>
      <c r="EZ150" s="217">
        <f t="shared" si="269"/>
        <v>4.8040080713735549E-3</v>
      </c>
      <c r="FB150" s="212">
        <f>intermediates!$B$94+intermediates!$B$95+(intermediates!$B$95*(EXP(-(data!A150-intermediates!$B$97)/intermediates!$B$96)-1))</f>
        <v>1.5375067522267745</v>
      </c>
      <c r="FC150" s="217">
        <f>IF(A150&lt;intermediates!$B$29,data!FB150,data!FC149+(data!FB150-data!FB149)*intermediates!$B$68)</f>
        <v>1.5375067522267745</v>
      </c>
      <c r="FD150" s="212">
        <f t="shared" si="270"/>
        <v>1.5375067522267745</v>
      </c>
      <c r="FF150" s="184">
        <f>intermediates!$B$98+intermediates!$B$99*EXP(-(A150-intermediates!$B$101)/intermediates!$B$100)</f>
        <v>0.90182560620949515</v>
      </c>
      <c r="FG150" s="184">
        <f t="shared" si="240"/>
        <v>0.90182560620949515</v>
      </c>
      <c r="FI150" s="184">
        <f>intermediates!$B$102+intermediates!$B$103*EXP(-(A150-intermediates!$B$105)/intermediates!$B$104)</f>
        <v>1.4155046191464264E-2</v>
      </c>
      <c r="FJ150" s="184">
        <f t="shared" si="271"/>
        <v>1.4155046191464264E-2</v>
      </c>
      <c r="FL150" s="184">
        <f>intermediates!$B$106</f>
        <v>4.5616870531049965E-2</v>
      </c>
      <c r="FM150" s="184">
        <f t="shared" si="272"/>
        <v>4.5616870531049965E-2</v>
      </c>
      <c r="FN150" s="218">
        <f>IF(A150&lt;intermediates!$B$29,0,IF(A150&lt;intermediates!$B$31,(data!A150-intermediates!$B$29)/(intermediates!$B$31-intermediates!$B$29),1))</f>
        <v>1</v>
      </c>
      <c r="FO150" s="218">
        <f t="shared" si="312"/>
        <v>360401422020257.38</v>
      </c>
      <c r="FP150" s="218">
        <f t="shared" si="313"/>
        <v>399635383536155.31</v>
      </c>
      <c r="FQ150" s="218">
        <f t="shared" si="314"/>
        <v>1919851608114.1565</v>
      </c>
      <c r="FR150" s="218">
        <f t="shared" si="315"/>
        <v>614442100615575.5</v>
      </c>
      <c r="FS150" s="218">
        <f t="shared" si="316"/>
        <v>385526419449.06635</v>
      </c>
      <c r="FT150" s="218">
        <f>intermediates!$B$69*data!EU150/intermediates!$B$71</f>
        <v>4.0566875817469228</v>
      </c>
      <c r="FU150" s="218">
        <f>BC150*conversions!$C$1*1000000</f>
        <v>27092287516573.816</v>
      </c>
      <c r="FV150" s="218">
        <f t="shared" si="320"/>
        <v>6678425925248.876</v>
      </c>
      <c r="FX150" s="221"/>
      <c r="FY150" s="221"/>
      <c r="FZ150" s="221"/>
      <c r="GA150" s="218">
        <f t="shared" si="241"/>
        <v>1544.9525271768828</v>
      </c>
      <c r="GB150" s="218">
        <f>GA150*1000000*10000*intermediates!$B$71/(intermediates!$B$72*data!EU150)</f>
        <v>4760511180748.7998</v>
      </c>
      <c r="GC150" s="218">
        <f t="shared" si="317"/>
        <v>8739441756864.7578</v>
      </c>
      <c r="GD150" s="218">
        <f t="shared" si="283"/>
        <v>20563905282311.5</v>
      </c>
      <c r="GE150" s="218">
        <f t="shared" si="318"/>
        <v>21871188117067.289</v>
      </c>
      <c r="GF150" s="218">
        <f t="shared" si="319"/>
        <v>309587678059.29181</v>
      </c>
      <c r="GG150" s="218">
        <f t="shared" si="273"/>
        <v>997695156696.49695</v>
      </c>
      <c r="GH150" s="218">
        <f t="shared" si="242"/>
        <v>8965572534128.5898</v>
      </c>
      <c r="GI150" s="218">
        <f t="shared" si="274"/>
        <v>159395642185.23438</v>
      </c>
      <c r="GJ150" s="218">
        <f>ET150*intermediates!$B$73/intermediates!$B$71</f>
        <v>6.0850313726203842</v>
      </c>
      <c r="GK150" s="218">
        <f>CL150*conversions!$C$1*1000000/data!GJ150</f>
        <v>4108773738502.3169</v>
      </c>
      <c r="GL150" s="218">
        <f>MIN(1,FN150)*(intermediates!$B$75-data!$GL$69)+data!$GL$69</f>
        <v>1</v>
      </c>
      <c r="GM150" s="218">
        <f>GL150*intermediates!$B$74*(FS150+GC150+GK150+GG150+GF150+GB150+FV150)</f>
        <v>3896994278335.4399</v>
      </c>
      <c r="GN150" s="218">
        <f>MIN(1,FN150)*intermediates!$B$76</f>
        <v>0.12</v>
      </c>
      <c r="GO150" s="218">
        <f t="shared" si="275"/>
        <v>3585234736068.6055</v>
      </c>
      <c r="GP150" s="218">
        <f>IF(A150&gt;intermediates!$B$29,MIN(1,(A150-intermediates!$B$29)/(intermediates!$B$31-intermediates!$B$29))*intermediates!$B$77,0)</f>
        <v>0.15</v>
      </c>
      <c r="GQ150" s="218">
        <f>IF(AND(A150&gt;intermediates!$B$29+intermediates!$B$30,data!GP150&lt;intermediates!$B$77),1,0)</f>
        <v>0</v>
      </c>
      <c r="GR150" s="218">
        <f t="shared" si="243"/>
        <v>7205893461843.75</v>
      </c>
      <c r="GS150" s="218">
        <f t="shared" si="244"/>
        <v>42587935939931.563</v>
      </c>
      <c r="GT150" s="218">
        <f t="shared" si="238"/>
        <v>86708720794625</v>
      </c>
      <c r="GU150" s="218">
        <f t="shared" si="245"/>
        <v>45875324510843.75</v>
      </c>
      <c r="GV150" s="218">
        <f t="shared" si="246"/>
        <v>29876956133905.047</v>
      </c>
      <c r="GW150" s="218">
        <f t="shared" si="247"/>
        <v>5451353805693.4375</v>
      </c>
      <c r="GX150" s="218">
        <f>MIN(intermediates!$B$88,FN150*intermediates!$B$87*GO150)</f>
        <v>1792617368034.3027</v>
      </c>
      <c r="GY150" s="218">
        <f t="shared" si="248"/>
        <v>1792617368034.3027</v>
      </c>
      <c r="GZ150" s="218">
        <f>MIN(intermediates!$B$88-GX150,intermediates!$B$87*data!GW150*FN150)</f>
        <v>2725676902846.7188</v>
      </c>
      <c r="HA150" s="218">
        <f t="shared" si="276"/>
        <v>2725676902846.7188</v>
      </c>
      <c r="HB150" s="218">
        <f t="shared" si="277"/>
        <v>4518294270881.0215</v>
      </c>
      <c r="HC150" s="218">
        <f t="shared" si="249"/>
        <v>6438145878995.1777</v>
      </c>
      <c r="HD150" s="218">
        <f>HC150*intermediates!$B$79/(10000*1000000000)</f>
        <v>427.32681072015242</v>
      </c>
      <c r="HE150" s="218">
        <f>(GV150*intermediates!$B$80+GV150*GL150*intermediates!$B$82)/(10000*1000000000)</f>
        <v>1113.9068699094628</v>
      </c>
      <c r="HF150" s="218">
        <f>GU150*intermediates!$B$78/(10000*1000000000)</f>
        <v>4619.6154707550731</v>
      </c>
      <c r="HG150" s="218">
        <f>HB150*intermediates!$B$81/(10000*1000000000)</f>
        <v>1135.7343035463055</v>
      </c>
      <c r="HH150" s="218">
        <f t="shared" si="250"/>
        <v>0</v>
      </c>
      <c r="HI150" s="218">
        <f t="shared" si="251"/>
        <v>15.284542194744972</v>
      </c>
      <c r="HJ150" s="218">
        <f t="shared" si="252"/>
        <v>-1.335591921486639</v>
      </c>
      <c r="HK150" s="218">
        <f ca="1">SUM(HJ150:INDIRECT(ADDRESS(MAX(CELL("row",HJ150)-intermediates!$B$83,69),CELL("col",HJ150))))/intermediates!$B$83+SUM(HH150:INDIRECT(ADDRESS(MAX(CELL("row",HH150)-intermediates!$B$84,69),CELL("col",HH150))))/intermediates!$B$84+SUM(HI150:INDIRECT(ADDRESS(MAX(CELL("row",HI150)-intermediates!$B$85,69),CELL("col",HI150))))/intermediates!$B$85</f>
        <v>19.941683824236229</v>
      </c>
      <c r="HL150" s="218">
        <f t="shared" ca="1" si="278"/>
        <v>-205.29239289773017</v>
      </c>
      <c r="HM150" s="188">
        <f t="shared" si="253"/>
        <v>2094</v>
      </c>
      <c r="HQ150" s="185">
        <f t="shared" si="254"/>
        <v>831.16270469295057</v>
      </c>
      <c r="HR150" s="185">
        <f t="shared" si="255"/>
        <v>540.34232506908108</v>
      </c>
      <c r="HS150" s="185">
        <f t="shared" si="256"/>
        <v>385.16646118633179</v>
      </c>
      <c r="HT150" s="185">
        <f t="shared" si="257"/>
        <v>332.43527440373418</v>
      </c>
      <c r="HU150" s="185">
        <f t="shared" si="258"/>
        <v>315.30048737617864</v>
      </c>
      <c r="HV150" s="185">
        <f t="shared" si="259"/>
        <v>290.07644838608439</v>
      </c>
      <c r="HW150" s="185">
        <f t="shared" si="260"/>
        <v>583.01900342297233</v>
      </c>
      <c r="HX150" s="185">
        <f t="shared" si="261"/>
        <v>12.896483822426948</v>
      </c>
      <c r="HY150" s="185">
        <f t="shared" si="262"/>
        <v>155.3325728738032</v>
      </c>
      <c r="HZ150" s="185">
        <f t="shared" si="279"/>
        <v>3277.5027045373331</v>
      </c>
      <c r="IA150" s="185">
        <f t="shared" si="280"/>
        <v>3445.7317612335632</v>
      </c>
      <c r="IB150" s="185">
        <f t="shared" si="263"/>
        <v>2613.2301845738384</v>
      </c>
      <c r="IC150" s="185">
        <f t="shared" si="311"/>
        <v>3886.793356153149</v>
      </c>
      <c r="ID150" s="185">
        <f t="shared" si="264"/>
        <v>3128.690879555802</v>
      </c>
      <c r="IE150" s="184">
        <f t="shared" si="281"/>
        <v>-0.19474300116933266</v>
      </c>
      <c r="IF150" s="184">
        <f t="shared" si="282"/>
        <v>-0.14097320953043652</v>
      </c>
    </row>
    <row r="151" spans="1:240" x14ac:dyDescent="0.3">
      <c r="A151" s="211">
        <v>2095</v>
      </c>
      <c r="E151" s="207">
        <v>7604765.4759999998</v>
      </c>
      <c r="F151" s="207">
        <v>10851860.145</v>
      </c>
      <c r="G151" s="207">
        <v>15055647.057</v>
      </c>
      <c r="I151" s="207">
        <f t="shared" si="284"/>
        <v>7604765476</v>
      </c>
      <c r="J151" s="207">
        <f t="shared" si="284"/>
        <v>10851860145</v>
      </c>
      <c r="K151" s="207">
        <f t="shared" si="284"/>
        <v>15055647057</v>
      </c>
      <c r="L151" s="187">
        <f>IF(intermediates!$B$4&gt;=2,(intermediates!$B$4-2)*K151+(1-(intermediates!$B$4-2))*J151,(intermediates!$B$4-1)*J151+(1-(intermediates!$B$4-1))*I151)</f>
        <v>12404148218.67477</v>
      </c>
      <c r="AJ151" s="184">
        <f>IF(intermediates!$B$46=0,$AJ$74+(intermediates!$B$15-$AJ$74)*MIN(1,(data!A151-data!$A$74)/(intermediates!$B$32-data!$A$74)),IF(A151&lt;2021,$AJ$74+(intermediates!$B$15-$AJ$74)*MIN(1,(data!A151-data!$A$74)/(intermediates!$B$32-data!$A$74)),intermediates!$B$47+(intermediates!$B$15-intermediates!$B$47)*MIN(1,(data!A151-$A$77)/(intermediates!$B$32-$A$77))))</f>
        <v>27400</v>
      </c>
      <c r="AK151" s="192">
        <f t="shared" si="285"/>
        <v>27400</v>
      </c>
      <c r="AL151" s="192">
        <f t="shared" si="321"/>
        <v>339873661191688.69</v>
      </c>
      <c r="AM151" s="192">
        <f>data!AL151/(1000000*conversions!$C$1)</f>
        <v>29132.028102144744</v>
      </c>
      <c r="AN151" s="192">
        <f>IF(intermediates!$B$13=1,($AJ$74+(27400-$AJ$74)*MIN(1,(data!A151-data!$A$74)/(intermediates!$B$32-data!$A$74)))*L151/(1000000*conversions!$C$1),data!AM151)</f>
        <v>29132.028102144744</v>
      </c>
      <c r="AV151" s="214">
        <f>IF(A151&lt;intermediates!$B$29,0,IF(A151&lt;intermediates!$B$31,(data!A151-intermediates!$B$29)*intermediates!$B$26/(intermediates!$B$31-intermediates!$B$29),intermediates!$B$26))</f>
        <v>10</v>
      </c>
      <c r="AW151" s="212">
        <f>MIN(AW150+intermediates!$B$16,intermediates!$B$17*data!$AW$74)</f>
        <v>1897.5897864678325</v>
      </c>
      <c r="AX151" s="212">
        <f>AV151*1000/conversions!$C$16/intermediates!$B$40</f>
        <v>8187.0584968062822</v>
      </c>
      <c r="AY151" s="212">
        <f>AX151*(1-intermediates!$B$39)*intermediates!$B$28/(conversions!$C$2)</f>
        <v>2143.0300372958864</v>
      </c>
      <c r="AZ151" s="213">
        <f>IF(A151&lt;intermediates!$B$29,0,MIN(intermediates!$B$25,intermediates!$B$25*(A151-intermediates!$B$29)/(intermediates!$B$31-intermediates!$B$29)))</f>
        <v>0</v>
      </c>
      <c r="BA151" s="212">
        <f>IF(A151&lt;intermediates!$B$29,data!$BA$74,IF(intermediates!$B$23&gt;data!$BA$74,MIN(intermediates!$B$23,data!$BA$74+(intermediates!$B$23-data!$BA$74)*((data!A151-intermediates!$B$29)/(intermediates!$B$31-intermediates!$B$29))),MAX(intermediates!$B$23,data!$BA$74+(intermediates!$B$23-data!$BA$74)*((data!A151-intermediates!$B$29)/(intermediates!$B$31-intermediates!$B$29)))))</f>
        <v>0.08</v>
      </c>
      <c r="BB151" s="212">
        <f t="shared" si="286"/>
        <v>2330.5622481715795</v>
      </c>
      <c r="BC151" s="212">
        <f t="shared" si="303"/>
        <v>2330.5622481715795</v>
      </c>
      <c r="BD151" s="212">
        <f t="shared" si="304"/>
        <v>0</v>
      </c>
      <c r="BE151" s="214">
        <f>MAX(0,MIN(1,(data!A151-intermediates!$B$29)/(intermediates!$B$31-intermediates!$B$29)))*((intermediates!$B$38*L151)-$BE$69*1000000000)/1000000000+$BE$69</f>
        <v>1550.5185273343461</v>
      </c>
      <c r="BF151" s="214">
        <f t="shared" si="237"/>
        <v>1550.5185273343461</v>
      </c>
      <c r="BG151" s="214">
        <f t="shared" si="305"/>
        <v>0</v>
      </c>
      <c r="BH151" s="214">
        <f>BD151*conversions!$C$2/conversions!$C$17+BG151*conversions!$C$6/conversions!$C$10</f>
        <v>0</v>
      </c>
      <c r="BI151" s="214">
        <f>BH151*intermediates!$B$41*conversions!$C$11/(conversions!$C$2*conversions!$C$6*intermediates!$B$42)</f>
        <v>0</v>
      </c>
      <c r="BJ151" s="214">
        <f>BH151*intermediates!$B$43/(conversions!$C$1*intermediates!$B$42)</f>
        <v>0</v>
      </c>
      <c r="BK151" s="214">
        <f t="shared" si="287"/>
        <v>0</v>
      </c>
      <c r="BL151" s="214">
        <f t="shared" si="288"/>
        <v>29132.028102144744</v>
      </c>
      <c r="BM151" s="214">
        <f t="shared" si="289"/>
        <v>22760.846030209446</v>
      </c>
      <c r="BN151" s="214">
        <f>IF(A151&lt;intermediates!$B$29,MIN(BO150+intermediates!$B$33*AN150),MIN(BO150*intermediates!$B$35,BO150+intermediates!$B$37*AN150))</f>
        <v>23535.061660777093</v>
      </c>
      <c r="BO151" s="212">
        <f>IF(A151&lt;intermediates!$B$29,MIN(BM151,BO150+intermediates!$B$33*AN150),MIN(BM151,BO150*intermediates!$B$35,BO150+intermediates!$B$37*AN150))</f>
        <v>22760.846030209446</v>
      </c>
      <c r="BP151" s="214">
        <f t="shared" si="290"/>
        <v>774.21563056764717</v>
      </c>
      <c r="BQ151" s="214">
        <f t="shared" si="291"/>
        <v>0</v>
      </c>
      <c r="BR151" s="212" t="str">
        <f t="shared" si="322"/>
        <v/>
      </c>
      <c r="BS151" s="212">
        <f>BP151*conversions!$C$1*intermediates!$B$42/intermediates!$B$43</f>
        <v>1727.9536653294183</v>
      </c>
      <c r="BT151" s="214">
        <f>MIN(BT150+BS151,intermediates!$B$27*1000)</f>
        <v>0</v>
      </c>
      <c r="BU151" s="219" t="str">
        <f>IF(AND(BT151=intermediates!$B$27*1000,BT150&lt;&gt;intermediates!$B$27*1000),A151,"")</f>
        <v/>
      </c>
      <c r="BV151" s="212">
        <f>BT151*intermediates!$B$43/(conversions!$C$1*intermediates!$B$42)</f>
        <v>0</v>
      </c>
      <c r="BW151" s="214">
        <f t="shared" si="292"/>
        <v>29132.028102144744</v>
      </c>
      <c r="BX151" s="214">
        <f t="shared" si="293"/>
        <v>22760.846030209446</v>
      </c>
      <c r="BY151" s="227">
        <f>IF(OR(BQ151&gt;0,BT151&lt;&gt;intermediates!$B$27*1000),MAX(0,(BX151-BX150)/AM150),0.000000000001)</f>
        <v>9.9999999999999998E-13</v>
      </c>
      <c r="BZ151" s="322">
        <f>BH151*intermediates!$B$49*1000000</f>
        <v>0</v>
      </c>
      <c r="CA151" s="322">
        <f>BI151*conversions!$C$1*1000000*intermediates!$B$50</f>
        <v>0</v>
      </c>
      <c r="CB151" s="322">
        <f>BT151*1000000*intermediates!$B$49</f>
        <v>0</v>
      </c>
      <c r="CC151" s="214">
        <f>BW151*conversions!$C$1*1000000/L151</f>
        <v>27400</v>
      </c>
      <c r="CD151" s="173">
        <f t="shared" si="239"/>
        <v>2095</v>
      </c>
      <c r="CE151" s="173"/>
      <c r="CF151" s="173"/>
      <c r="CG151" s="173"/>
      <c r="CH151" s="173"/>
      <c r="CI151" s="173">
        <f t="shared" si="294"/>
        <v>0</v>
      </c>
      <c r="CJ151" s="173">
        <f t="shared" si="295"/>
        <v>1897.5897864678325</v>
      </c>
      <c r="CK151" s="173">
        <f t="shared" si="296"/>
        <v>2330.5622481715795</v>
      </c>
      <c r="CL151" s="173">
        <f t="shared" si="297"/>
        <v>2143.0300372958864</v>
      </c>
      <c r="CM151" s="173"/>
      <c r="CN151" s="173"/>
      <c r="CO151" s="329">
        <f t="shared" si="306"/>
        <v>22760.846030209446</v>
      </c>
      <c r="CP151" s="174">
        <f t="shared" si="298"/>
        <v>0</v>
      </c>
      <c r="CQ151" s="228">
        <f t="shared" si="299"/>
        <v>10</v>
      </c>
      <c r="CR151" s="228">
        <f t="shared" si="307"/>
        <v>595</v>
      </c>
      <c r="CS151" s="214">
        <f t="shared" ca="1" si="300"/>
        <v>-30.24061714715404</v>
      </c>
      <c r="CT151" s="190">
        <f t="shared" ca="1" si="301"/>
        <v>-2.4379438728107101</v>
      </c>
      <c r="CU151" s="190">
        <f t="shared" ca="1" si="323"/>
        <v>-30.24061714715404</v>
      </c>
      <c r="CV151" s="198">
        <f t="shared" si="308"/>
        <v>3203.9310777670239</v>
      </c>
      <c r="CW151" s="198">
        <f t="shared" ca="1" si="309"/>
        <v>3796.8898451957907</v>
      </c>
      <c r="CX151" s="198">
        <f t="shared" ca="1" si="302"/>
        <v>2793.982853517603</v>
      </c>
      <c r="CY151" s="198">
        <f t="shared" ca="1" si="310"/>
        <v>-1002.9069916781883</v>
      </c>
      <c r="CZ151" s="199">
        <f ca="1">IF(CX151&lt;intermediates!$B$55,intermediates!$B$56+(CX151-intermediates!$B$55)*intermediates!$B$53,intermediates!$B$56+(data!CX151-intermediates!$B$55)*intermediates!$B$58)</f>
        <v>1.4884587872183588</v>
      </c>
      <c r="DG151" s="201">
        <f>IF(A151&gt;MAX(intermediates!B$31,intermediates!$B$32),DG150,DG150+intermediates!$B$60*DG$73)</f>
        <v>19505207416250</v>
      </c>
      <c r="DH151" s="201">
        <f>IF(A151&gt;MAX(intermediates!B$31,intermediates!$B$32),DH150,DH150+intermediates!$B$61*DH$73)</f>
        <v>28534082329375</v>
      </c>
      <c r="DI151" s="201">
        <f>IF(A151&gt;MAX(intermediates!B$31,intermediates!$B$32),DI150,DI150+intermediates!$B$62*DI$73)</f>
        <v>38669431049000</v>
      </c>
      <c r="DJ151" s="221"/>
      <c r="EE151" s="218"/>
      <c r="EF151" s="212">
        <f>$EF$69+intermediates!$B$90*(A151-2013)*intermediates!$B$92+intermediates!$B$91*intermediates!$B$92*(A151-2013)^2</f>
        <v>3168.7658685492188</v>
      </c>
      <c r="EH151" s="212">
        <f>IF(A151&lt;intermediates!$B$29,data!EH150,IF(A151&lt;intermediates!$B$31,data!$EH$69+(intermediates!$B$93-data!$EH$69)*(data!A151-intermediates!$B$29)/(intermediates!$B$31-intermediates!$B$29),intermediates!$B$93))</f>
        <v>2.522212345090466E-2</v>
      </c>
      <c r="EI151" s="212">
        <f t="shared" si="265"/>
        <v>2.522212345090466E-2</v>
      </c>
      <c r="EN151" s="218"/>
      <c r="EO151" s="212">
        <f t="shared" si="266"/>
        <v>3088.8428646256571</v>
      </c>
      <c r="EQ151" s="212">
        <f t="shared" si="267"/>
        <v>79.923003923561737</v>
      </c>
      <c r="ET151" s="214">
        <f>IF(A151&lt;intermediates!$B$29,ET150+intermediates!$B$63,ET150+intermediates!$B$63*intermediates!$B$67)</f>
        <v>1603.7498928325388</v>
      </c>
      <c r="EU151" s="215">
        <f t="shared" si="268"/>
        <v>1603.7498928325388</v>
      </c>
      <c r="EV151" s="216">
        <f>data!EU151*conversions!$C$13</f>
        <v>1.8651611253642426</v>
      </c>
      <c r="EX151" s="212">
        <f>intermediates!$B$64+intermediates!$B$64*(EXP(-(data!A151-intermediates!$B$66)/intermediates!$B$65)-1)</f>
        <v>4.7146992241817905E-3</v>
      </c>
      <c r="EY151" s="217">
        <f>IF(A151&lt;intermediates!$B$29,data!EX151,data!EY150+(data!EX151-data!EX150)*intermediates!$B$68)</f>
        <v>4.7146992241817905E-3</v>
      </c>
      <c r="EZ151" s="217">
        <f t="shared" si="269"/>
        <v>4.7146992241817905E-3</v>
      </c>
      <c r="FB151" s="212">
        <f>intermediates!$B$94+intermediates!$B$95+(intermediates!$B$95*(EXP(-(data!A151-intermediates!$B$97)/intermediates!$B$96)-1))</f>
        <v>1.5364839258966527</v>
      </c>
      <c r="FC151" s="217">
        <f>IF(A151&lt;intermediates!$B$29,data!FB151,data!FC150+(data!FB151-data!FB150)*intermediates!$B$68)</f>
        <v>1.5364839258966527</v>
      </c>
      <c r="FD151" s="212">
        <f t="shared" si="270"/>
        <v>1.5364839258966527</v>
      </c>
      <c r="FF151" s="184">
        <f>intermediates!$B$98+intermediates!$B$99*EXP(-(A151-intermediates!$B$101)/intermediates!$B$100)</f>
        <v>0.90200446807987211</v>
      </c>
      <c r="FG151" s="184">
        <f t="shared" si="240"/>
        <v>0.90200446807987211</v>
      </c>
      <c r="FI151" s="184">
        <f>intermediates!$B$102+intermediates!$B$103*EXP(-(A151-intermediates!$B$105)/intermediates!$B$104)</f>
        <v>1.4114285062159048E-2</v>
      </c>
      <c r="FJ151" s="184">
        <f t="shared" si="271"/>
        <v>1.4114285062159048E-2</v>
      </c>
      <c r="FL151" s="184">
        <f>intermediates!$B$106</f>
        <v>4.5616870531049965E-2</v>
      </c>
      <c r="FM151" s="184">
        <f t="shared" si="272"/>
        <v>4.5616870531049965E-2</v>
      </c>
      <c r="FN151" s="218">
        <f>IF(A151&lt;intermediates!$B$29,0,IF(A151&lt;intermediates!$B$31,(data!A151-intermediates!$B$29)/(intermediates!$B$31-intermediates!$B$29),1))</f>
        <v>1</v>
      </c>
      <c r="FO151" s="218">
        <f t="shared" si="312"/>
        <v>361852527163598.5</v>
      </c>
      <c r="FP151" s="218">
        <f t="shared" si="313"/>
        <v>401164894375619.25</v>
      </c>
      <c r="FQ151" s="218">
        <f t="shared" si="314"/>
        <v>1891371816281.7019</v>
      </c>
      <c r="FR151" s="218">
        <f t="shared" si="315"/>
        <v>616383411842167.5</v>
      </c>
      <c r="FS151" s="218">
        <f t="shared" si="316"/>
        <v>384338863931.90198</v>
      </c>
      <c r="FT151" s="218">
        <f>intermediates!$B$69*data!EU151/intermediates!$B$71</f>
        <v>4.0820787864598476</v>
      </c>
      <c r="FU151" s="218">
        <f>BC151*conversions!$C$1*1000000</f>
        <v>27189892895335.094</v>
      </c>
      <c r="FV151" s="218">
        <f t="shared" si="320"/>
        <v>6660795716516.6152</v>
      </c>
      <c r="FX151" s="221"/>
      <c r="FY151" s="221"/>
      <c r="FZ151" s="221"/>
      <c r="GA151" s="218">
        <f t="shared" si="241"/>
        <v>1550.5185273343461</v>
      </c>
      <c r="GB151" s="218">
        <f>GA151*1000000*10000*intermediates!$B$71/(intermediates!$B$72*data!EU151)</f>
        <v>4747944026942.1582</v>
      </c>
      <c r="GC151" s="218">
        <f t="shared" si="317"/>
        <v>8720050229908.1846</v>
      </c>
      <c r="GD151" s="218">
        <f t="shared" si="283"/>
        <v>20513128837298.859</v>
      </c>
      <c r="GE151" s="218">
        <f t="shared" si="318"/>
        <v>21816237940161.09</v>
      </c>
      <c r="GF151" s="218">
        <f t="shared" si="319"/>
        <v>307920601271.32312</v>
      </c>
      <c r="GG151" s="218">
        <f t="shared" si="273"/>
        <v>995188501590.90857</v>
      </c>
      <c r="GH151" s="218">
        <f t="shared" si="242"/>
        <v>8945679256466.9922</v>
      </c>
      <c r="GI151" s="218">
        <f t="shared" si="274"/>
        <v>158709837373.09375</v>
      </c>
      <c r="GJ151" s="218">
        <f>ET151*intermediates!$B$73/intermediates!$B$71</f>
        <v>6.1231181796897713</v>
      </c>
      <c r="GK151" s="218">
        <f>CL151*conversions!$C$1*1000000/data!GJ151</f>
        <v>4083216486775.7085</v>
      </c>
      <c r="GL151" s="218">
        <f>MIN(1,FN151)*(intermediates!$B$75-data!$GL$69)+data!$GL$69</f>
        <v>1</v>
      </c>
      <c r="GM151" s="218">
        <f>GL151*intermediates!$B$74*(FS151+GC151+GK151+GG151+GF151+GB151+FV151)</f>
        <v>3884918164040.5195</v>
      </c>
      <c r="GN151" s="218">
        <f>MIN(1,FN151)*intermediates!$B$76</f>
        <v>0.12</v>
      </c>
      <c r="GO151" s="218">
        <f t="shared" si="275"/>
        <v>3574124710917.2788</v>
      </c>
      <c r="GP151" s="218">
        <f>IF(A151&gt;intermediates!$B$29,MIN(1,(A151-intermediates!$B$29)/(intermediates!$B$31-intermediates!$B$29))*intermediates!$B$77,0)</f>
        <v>0.15</v>
      </c>
      <c r="GQ151" s="218">
        <f>IF(AND(A151&gt;intermediates!$B$29+intermediates!$B$30,data!GP151&lt;intermediates!$B$77),1,0)</f>
        <v>0</v>
      </c>
      <c r="GR151" s="218">
        <f t="shared" si="243"/>
        <v>7205893461843.75</v>
      </c>
      <c r="GS151" s="218">
        <f t="shared" si="244"/>
        <v>42455762580020.055</v>
      </c>
      <c r="GT151" s="218">
        <f t="shared" si="238"/>
        <v>86708720794625</v>
      </c>
      <c r="GU151" s="218">
        <f t="shared" si="245"/>
        <v>45875324510843.75</v>
      </c>
      <c r="GV151" s="218">
        <f t="shared" si="246"/>
        <v>29784372590977.32</v>
      </c>
      <c r="GW151" s="218">
        <f t="shared" si="247"/>
        <v>5583527165604.9453</v>
      </c>
      <c r="GX151" s="218">
        <f>MIN(intermediates!$B$88,FN151*intermediates!$B$87*GO151)</f>
        <v>1787062355458.6394</v>
      </c>
      <c r="GY151" s="218">
        <f t="shared" si="248"/>
        <v>1787062355458.6394</v>
      </c>
      <c r="GZ151" s="218">
        <f>MIN(intermediates!$B$88-GX151,intermediates!$B$87*data!GW151*FN151)</f>
        <v>2791763582802.4727</v>
      </c>
      <c r="HA151" s="218">
        <f t="shared" si="276"/>
        <v>2791763582802.4727</v>
      </c>
      <c r="HB151" s="218">
        <f t="shared" si="277"/>
        <v>4578825938261.1123</v>
      </c>
      <c r="HC151" s="218">
        <f t="shared" si="249"/>
        <v>6470197754542.8145</v>
      </c>
      <c r="HD151" s="218">
        <f>HC151*intermediates!$B$79/(10000*1000000000)</f>
        <v>429.45422846010399</v>
      </c>
      <c r="HE151" s="218">
        <f>(GV151*intermediates!$B$80+GV151*GL151*intermediates!$B$82)/(10000*1000000000)</f>
        <v>1110.4550643090015</v>
      </c>
      <c r="HF151" s="218">
        <f>GU151*intermediates!$B$78/(10000*1000000000)</f>
        <v>4619.6154707550731</v>
      </c>
      <c r="HG151" s="218">
        <f>HB151*intermediates!$B$81/(10000*1000000000)</f>
        <v>1150.9497558769519</v>
      </c>
      <c r="HH151" s="218">
        <f t="shared" si="250"/>
        <v>0</v>
      </c>
      <c r="HI151" s="218">
        <f t="shared" si="251"/>
        <v>15.215452330646485</v>
      </c>
      <c r="HJ151" s="218">
        <f t="shared" si="252"/>
        <v>-1.3243878605097166</v>
      </c>
      <c r="HK151" s="218">
        <f ca="1">SUM(HJ151:INDIRECT(ADDRESS(MAX(CELL("row",HJ151)-intermediates!$B$83,69),CELL("col",HJ151))))/intermediates!$B$83+SUM(HH151:INDIRECT(ADDRESS(MAX(CELL("row",HH151)-intermediates!$B$84,69),CELL("col",HH151))))/intermediates!$B$84+SUM(HI151:INDIRECT(ADDRESS(MAX(CELL("row",HI151)-intermediates!$B$85,69),CELL("col",HI151))))/intermediates!$B$85</f>
        <v>20.24061714715404</v>
      </c>
      <c r="HL151" s="218">
        <f t="shared" ca="1" si="278"/>
        <v>-185.05177575057613</v>
      </c>
      <c r="HM151" s="188">
        <f t="shared" si="253"/>
        <v>2095</v>
      </c>
      <c r="HQ151" s="185">
        <f t="shared" si="254"/>
        <v>826.23878549753249</v>
      </c>
      <c r="HR151" s="185">
        <f t="shared" si="255"/>
        <v>536.98130650265955</v>
      </c>
      <c r="HS151" s="185">
        <f t="shared" si="256"/>
        <v>382.77066213978355</v>
      </c>
      <c r="HT151" s="185">
        <f t="shared" si="257"/>
        <v>329.18152982308925</v>
      </c>
      <c r="HU151" s="185">
        <f t="shared" si="258"/>
        <v>313.19507761054268</v>
      </c>
      <c r="HV151" s="185">
        <f t="shared" si="259"/>
        <v>288.13947140169932</v>
      </c>
      <c r="HW151" s="185">
        <f t="shared" si="260"/>
        <v>580.92610107601649</v>
      </c>
      <c r="HX151" s="185">
        <f t="shared" si="261"/>
        <v>12.794900107219933</v>
      </c>
      <c r="HY151" s="185">
        <f t="shared" si="262"/>
        <v>152.47897581828246</v>
      </c>
      <c r="HZ151" s="185">
        <f t="shared" si="279"/>
        <v>3257.4329340513232</v>
      </c>
      <c r="IA151" s="185">
        <f t="shared" si="280"/>
        <v>3422.7068099768253</v>
      </c>
      <c r="IB151" s="185">
        <f t="shared" si="263"/>
        <v>2613.2301845738384</v>
      </c>
      <c r="IC151" s="185">
        <f t="shared" si="311"/>
        <v>3872.84067384011</v>
      </c>
      <c r="ID151" s="185">
        <f t="shared" si="264"/>
        <v>3117.4596084543846</v>
      </c>
      <c r="IE151" s="184">
        <f t="shared" si="281"/>
        <v>-0.19740680460456769</v>
      </c>
      <c r="IF151" s="184">
        <f t="shared" si="282"/>
        <v>-0.14439124171570517</v>
      </c>
    </row>
    <row r="152" spans="1:240" x14ac:dyDescent="0.3">
      <c r="A152" s="211">
        <v>2096</v>
      </c>
      <c r="E152" s="207">
        <v>7549519.2390000001</v>
      </c>
      <c r="F152" s="207">
        <v>10858111.586999999</v>
      </c>
      <c r="G152" s="207">
        <v>15164532.384</v>
      </c>
      <c r="I152" s="207">
        <f t="shared" si="284"/>
        <v>7549519239</v>
      </c>
      <c r="J152" s="207">
        <f t="shared" si="284"/>
        <v>10858111587</v>
      </c>
      <c r="K152" s="207">
        <f t="shared" si="284"/>
        <v>15164532384</v>
      </c>
      <c r="L152" s="187">
        <f>IF(intermediates!$B$4&gt;=2,(intermediates!$B$4-2)*K152+(1-(intermediates!$B$4-2))*J152,(intermediates!$B$4-1)*J152+(1-(intermediates!$B$4-1))*I152)</f>
        <v>12448298193.349115</v>
      </c>
      <c r="AJ152" s="184">
        <f>IF(intermediates!$B$46=0,$AJ$74+(intermediates!$B$15-$AJ$74)*MIN(1,(data!A152-data!$A$74)/(intermediates!$B$32-data!$A$74)),IF(A152&lt;2021,$AJ$74+(intermediates!$B$15-$AJ$74)*MIN(1,(data!A152-data!$A$74)/(intermediates!$B$32-data!$A$74)),intermediates!$B$47+(intermediates!$B$15-intermediates!$B$47)*MIN(1,(data!A152-$A$77)/(intermediates!$B$32-$A$77))))</f>
        <v>27400</v>
      </c>
      <c r="AK152" s="192">
        <f t="shared" si="285"/>
        <v>27400</v>
      </c>
      <c r="AL152" s="192">
        <f t="shared" si="321"/>
        <v>341083370497765.75</v>
      </c>
      <c r="AM152" s="192">
        <f>data!AL152/(1000000*conversions!$C$1)</f>
        <v>29235.717471237065</v>
      </c>
      <c r="AN152" s="192">
        <f>IF(intermediates!$B$13=1,($AJ$74+(27400-$AJ$74)*MIN(1,(data!A152-data!$A$74)/(intermediates!$B$32-data!$A$74)))*L152/(1000000*conversions!$C$1),data!AM152)</f>
        <v>29235.717471237065</v>
      </c>
      <c r="AV152" s="214">
        <f>IF(A152&lt;intermediates!$B$29,0,IF(A152&lt;intermediates!$B$31,(data!A152-intermediates!$B$29)*intermediates!$B$26/(intermediates!$B$31-intermediates!$B$29),intermediates!$B$26))</f>
        <v>10</v>
      </c>
      <c r="AW152" s="212">
        <f>MIN(AW151+intermediates!$B$16,intermediates!$B$17*data!$AW$74)</f>
        <v>1897.5897864678325</v>
      </c>
      <c r="AX152" s="212">
        <f>AV152*1000/conversions!$C$16/intermediates!$B$40</f>
        <v>8187.0584968062822</v>
      </c>
      <c r="AY152" s="212">
        <f>AX152*(1-intermediates!$B$39)*intermediates!$B$28/(conversions!$C$2)</f>
        <v>2143.0300372958864</v>
      </c>
      <c r="AZ152" s="213">
        <f>IF(A152&lt;intermediates!$B$29,0,MIN(intermediates!$B$25,intermediates!$B$25*(A152-intermediates!$B$29)/(intermediates!$B$31-intermediates!$B$29)))</f>
        <v>0</v>
      </c>
      <c r="BA152" s="212">
        <f>IF(A152&lt;intermediates!$B$29,data!$BA$74,IF(intermediates!$B$23&gt;data!$BA$74,MIN(intermediates!$B$23,data!$BA$74+(intermediates!$B$23-data!$BA$74)*((data!A152-intermediates!$B$29)/(intermediates!$B$31-intermediates!$B$29))),MAX(intermediates!$B$23,data!$BA$74+(intermediates!$B$23-data!$BA$74)*((data!A152-intermediates!$B$29)/(intermediates!$B$31-intermediates!$B$29)))))</f>
        <v>0.08</v>
      </c>
      <c r="BB152" s="212">
        <f t="shared" si="286"/>
        <v>2338.8573976989651</v>
      </c>
      <c r="BC152" s="212">
        <f t="shared" si="303"/>
        <v>2338.8573976989651</v>
      </c>
      <c r="BD152" s="212">
        <f t="shared" si="304"/>
        <v>0</v>
      </c>
      <c r="BE152" s="214">
        <f>MAX(0,MIN(1,(data!A152-intermediates!$B$29)/(intermediates!$B$31-intermediates!$B$29)))*((intermediates!$B$38*L152)-$BE$69*1000000000)/1000000000+$BE$69</f>
        <v>1556.0372741686394</v>
      </c>
      <c r="BF152" s="214">
        <f t="shared" si="237"/>
        <v>1556.0372741686394</v>
      </c>
      <c r="BG152" s="214">
        <f t="shared" si="305"/>
        <v>0</v>
      </c>
      <c r="BH152" s="214">
        <f>BD152*conversions!$C$2/conversions!$C$17+BG152*conversions!$C$6/conversions!$C$10</f>
        <v>0</v>
      </c>
      <c r="BI152" s="214">
        <f>BH152*intermediates!$B$41*conversions!$C$11/(conversions!$C$2*conversions!$C$6*intermediates!$B$42)</f>
        <v>0</v>
      </c>
      <c r="BJ152" s="214">
        <f>BH152*intermediates!$B$43/(conversions!$C$1*intermediates!$B$42)</f>
        <v>0</v>
      </c>
      <c r="BK152" s="214">
        <f t="shared" si="287"/>
        <v>0</v>
      </c>
      <c r="BL152" s="214">
        <f t="shared" si="288"/>
        <v>29235.717471237065</v>
      </c>
      <c r="BM152" s="214">
        <f t="shared" si="289"/>
        <v>22856.240249774382</v>
      </c>
      <c r="BN152" s="214">
        <f>IF(A152&lt;intermediates!$B$29,MIN(BO151+intermediates!$B$33*AN151),MIN(BO151*intermediates!$B$35,BO151+intermediates!$B$37*AN151))</f>
        <v>23634.408562889086</v>
      </c>
      <c r="BO152" s="212">
        <f>IF(A152&lt;intermediates!$B$29,MIN(BM152,BO151+intermediates!$B$33*AN151),MIN(BM152,BO151*intermediates!$B$35,BO151+intermediates!$B$37*AN151))</f>
        <v>22856.240249774382</v>
      </c>
      <c r="BP152" s="214">
        <f t="shared" si="290"/>
        <v>778.16831311470378</v>
      </c>
      <c r="BQ152" s="214">
        <f t="shared" si="291"/>
        <v>0</v>
      </c>
      <c r="BR152" s="212" t="str">
        <f t="shared" si="322"/>
        <v/>
      </c>
      <c r="BS152" s="212">
        <f>BP152*conversions!$C$1*intermediates!$B$42/intermediates!$B$43</f>
        <v>1736.7755645851364</v>
      </c>
      <c r="BT152" s="214">
        <f>MIN(BT151+BS152,intermediates!$B$27*1000)</f>
        <v>0</v>
      </c>
      <c r="BU152" s="219" t="str">
        <f>IF(AND(BT152=intermediates!$B$27*1000,BT151&lt;&gt;intermediates!$B$27*1000),A152,"")</f>
        <v/>
      </c>
      <c r="BV152" s="212">
        <f>BT152*intermediates!$B$43/(conversions!$C$1*intermediates!$B$42)</f>
        <v>0</v>
      </c>
      <c r="BW152" s="214">
        <f t="shared" si="292"/>
        <v>29235.717471237065</v>
      </c>
      <c r="BX152" s="214">
        <f t="shared" si="293"/>
        <v>22856.240249774382</v>
      </c>
      <c r="BY152" s="227">
        <f>IF(OR(BQ152&gt;0,BT152&lt;&gt;intermediates!$B$27*1000),MAX(0,(BX152-BX151)/AM151),0.000000000001)</f>
        <v>9.9999999999999998E-13</v>
      </c>
      <c r="BZ152" s="322">
        <f>BH152*intermediates!$B$49*1000000</f>
        <v>0</v>
      </c>
      <c r="CA152" s="322">
        <f>BI152*conversions!$C$1*1000000*intermediates!$B$50</f>
        <v>0</v>
      </c>
      <c r="CB152" s="322">
        <f>BT152*1000000*intermediates!$B$49</f>
        <v>0</v>
      </c>
      <c r="CC152" s="214">
        <f>BW152*conversions!$C$1*1000000/L152</f>
        <v>27400</v>
      </c>
      <c r="CD152" s="173">
        <f t="shared" si="239"/>
        <v>2096</v>
      </c>
      <c r="CE152" s="173"/>
      <c r="CF152" s="173"/>
      <c r="CG152" s="173"/>
      <c r="CH152" s="173"/>
      <c r="CI152" s="173">
        <f t="shared" si="294"/>
        <v>0</v>
      </c>
      <c r="CJ152" s="173">
        <f t="shared" si="295"/>
        <v>1897.5897864678325</v>
      </c>
      <c r="CK152" s="173">
        <f t="shared" si="296"/>
        <v>2338.8573976989651</v>
      </c>
      <c r="CL152" s="173">
        <f t="shared" si="297"/>
        <v>2143.0300372958864</v>
      </c>
      <c r="CM152" s="173"/>
      <c r="CN152" s="173"/>
      <c r="CO152" s="329">
        <f t="shared" si="306"/>
        <v>22856.240249774382</v>
      </c>
      <c r="CP152" s="174">
        <f t="shared" si="298"/>
        <v>0</v>
      </c>
      <c r="CQ152" s="228">
        <f t="shared" si="299"/>
        <v>10</v>
      </c>
      <c r="CR152" s="228">
        <f t="shared" si="307"/>
        <v>605</v>
      </c>
      <c r="CS152" s="214">
        <f t="shared" ca="1" si="300"/>
        <v>-30.515830926928388</v>
      </c>
      <c r="CT152" s="190">
        <f t="shared" ca="1" si="301"/>
        <v>-2.4514058430277967</v>
      </c>
      <c r="CU152" s="190">
        <f t="shared" ca="1" si="323"/>
        <v>-30.515830926928388</v>
      </c>
      <c r="CV152" s="198">
        <f t="shared" si="308"/>
        <v>3203.9310777670239</v>
      </c>
      <c r="CW152" s="198">
        <f t="shared" ca="1" si="309"/>
        <v>3796.8898451957907</v>
      </c>
      <c r="CX152" s="198">
        <f t="shared" ca="1" si="302"/>
        <v>2763.4670225906748</v>
      </c>
      <c r="CY152" s="198">
        <f t="shared" ca="1" si="310"/>
        <v>-1033.4228226051168</v>
      </c>
      <c r="CZ152" s="199">
        <f ca="1">IF(CX152&lt;intermediates!$B$55,intermediates!$B$56+(CX152-intermediates!$B$55)*intermediates!$B$53,intermediates!$B$56+(data!CX152-intermediates!$B$55)*intermediates!$B$58)</f>
        <v>1.4718642875850323</v>
      </c>
      <c r="DG152" s="201">
        <f>IF(A152&gt;MAX(intermediates!B$31,intermediates!$B$32),DG151,DG151+intermediates!$B$60*DG$73)</f>
        <v>19505207416250</v>
      </c>
      <c r="DH152" s="201">
        <f>IF(A152&gt;MAX(intermediates!B$31,intermediates!$B$32),DH151,DH151+intermediates!$B$61*DH$73)</f>
        <v>28534082329375</v>
      </c>
      <c r="DI152" s="201">
        <f>IF(A152&gt;MAX(intermediates!B$31,intermediates!$B$32),DI151,DI151+intermediates!$B$62*DI$73)</f>
        <v>38669431049000</v>
      </c>
      <c r="DJ152" s="221"/>
      <c r="EE152" s="218"/>
      <c r="EF152" s="212">
        <f>$EF$69+intermediates!$B$90*(A152-2013)*intermediates!$B$92+intermediates!$B$91*intermediates!$B$92*(A152-2013)^2</f>
        <v>3170.0215585492188</v>
      </c>
      <c r="EH152" s="212">
        <f>IF(A152&lt;intermediates!$B$29,data!EH151,IF(A152&lt;intermediates!$B$31,data!$EH$69+(intermediates!$B$93-data!$EH$69)*(data!A152-intermediates!$B$29)/(intermediates!$B$31-intermediates!$B$29),intermediates!$B$93))</f>
        <v>2.522212345090466E-2</v>
      </c>
      <c r="EI152" s="212">
        <f t="shared" si="265"/>
        <v>2.522212345090466E-2</v>
      </c>
      <c r="EN152" s="218"/>
      <c r="EO152" s="212">
        <f t="shared" si="266"/>
        <v>3090.0668834574612</v>
      </c>
      <c r="EQ152" s="212">
        <f t="shared" si="267"/>
        <v>79.954675091757508</v>
      </c>
      <c r="ET152" s="214">
        <f>IF(A152&lt;intermediates!$B$29,ET151+intermediates!$B$63,ET151+intermediates!$B$63*intermediates!$B$67)</f>
        <v>1613.7254822239815</v>
      </c>
      <c r="EU152" s="215">
        <f t="shared" si="268"/>
        <v>1613.7254822239815</v>
      </c>
      <c r="EV152" s="216">
        <f>data!EU152*conversions!$C$13</f>
        <v>1.8767627358264904</v>
      </c>
      <c r="EX152" s="212">
        <f>intermediates!$B$64+intermediates!$B$64*(EXP(-(data!A152-intermediates!$B$66)/intermediates!$B$65)-1)</f>
        <v>4.6270506719079812E-3</v>
      </c>
      <c r="EY152" s="217">
        <f>IF(A152&lt;intermediates!$B$29,data!EX152,data!EY151+(data!EX152-data!EX151)*intermediates!$B$68)</f>
        <v>4.6270506719079812E-3</v>
      </c>
      <c r="EZ152" s="217">
        <f t="shared" si="269"/>
        <v>4.6270506719079812E-3</v>
      </c>
      <c r="FB152" s="212">
        <f>intermediates!$B$94+intermediates!$B$95+(intermediates!$B$95*(EXP(-(data!A152-intermediates!$B$97)/intermediates!$B$96)-1))</f>
        <v>1.535488992509521</v>
      </c>
      <c r="FC152" s="217">
        <f>IF(A152&lt;intermediates!$B$29,data!FB152,data!FC151+(data!FB152-data!FB151)*intermediates!$B$68)</f>
        <v>1.535488992509521</v>
      </c>
      <c r="FD152" s="212">
        <f t="shared" si="270"/>
        <v>1.535488992509521</v>
      </c>
      <c r="FF152" s="184">
        <f>intermediates!$B$98+intermediates!$B$99*EXP(-(A152-intermediates!$B$101)/intermediates!$B$100)</f>
        <v>0.90217941631830334</v>
      </c>
      <c r="FG152" s="184">
        <f t="shared" si="240"/>
        <v>0.90217941631830334</v>
      </c>
      <c r="FI152" s="184">
        <f>intermediates!$B$102+intermediates!$B$103*EXP(-(A152-intermediates!$B$105)/intermediates!$B$104)</f>
        <v>1.4074592370351932E-2</v>
      </c>
      <c r="FJ152" s="184">
        <f t="shared" si="271"/>
        <v>1.4074592370351932E-2</v>
      </c>
      <c r="FL152" s="184">
        <f>intermediates!$B$106</f>
        <v>4.5616870531049965E-2</v>
      </c>
      <c r="FM152" s="184">
        <f t="shared" si="272"/>
        <v>4.5616870531049965E-2</v>
      </c>
      <c r="FN152" s="218">
        <f>IF(A152&lt;intermediates!$B$29,0,IF(A152&lt;intermediates!$B$31,(data!A152-intermediates!$B$29)/(intermediates!$B$31-intermediates!$B$29),1))</f>
        <v>1</v>
      </c>
      <c r="FO152" s="218">
        <f t="shared" si="312"/>
        <v>363284367685507.31</v>
      </c>
      <c r="FP152" s="218">
        <f t="shared" si="313"/>
        <v>402674192200074.31</v>
      </c>
      <c r="FQ152" s="218">
        <f t="shared" si="314"/>
        <v>1863193891579.3574</v>
      </c>
      <c r="FR152" s="218">
        <f t="shared" si="315"/>
        <v>618301789690877.38</v>
      </c>
      <c r="FS152" s="218">
        <f t="shared" si="316"/>
        <v>383151779222.54468</v>
      </c>
      <c r="FT152" s="218">
        <f>intermediates!$B$69*data!EU152/intermediates!$B$71</f>
        <v>4.1074699911727723</v>
      </c>
      <c r="FU152" s="218">
        <f>BC152*conversions!$C$1*1000000</f>
        <v>27286669639821.258</v>
      </c>
      <c r="FV152" s="218">
        <f t="shared" si="320"/>
        <v>6643181739236.5947</v>
      </c>
      <c r="FX152" s="221"/>
      <c r="FY152" s="221"/>
      <c r="FZ152" s="221"/>
      <c r="GA152" s="218">
        <f t="shared" si="241"/>
        <v>1556.0372741686394</v>
      </c>
      <c r="GB152" s="218">
        <f>GA152*1000000*10000*intermediates!$B$71/(intermediates!$B$72*data!EU152)</f>
        <v>4735388443228.6406</v>
      </c>
      <c r="GC152" s="218">
        <f t="shared" si="317"/>
        <v>8700437072869.0898</v>
      </c>
      <c r="GD152" s="218">
        <f t="shared" si="283"/>
        <v>20462159034556.867</v>
      </c>
      <c r="GE152" s="218">
        <f t="shared" si="318"/>
        <v>21761111621611.559</v>
      </c>
      <c r="GF152" s="218">
        <f t="shared" si="319"/>
        <v>306278775599.91077</v>
      </c>
      <c r="GG152" s="218">
        <f t="shared" si="273"/>
        <v>992673811454.78125</v>
      </c>
      <c r="GH152" s="218">
        <f t="shared" si="242"/>
        <v>8925558614102.2617</v>
      </c>
      <c r="GI152" s="218">
        <f t="shared" si="274"/>
        <v>158030237989.37305</v>
      </c>
      <c r="GJ152" s="218">
        <f>ET152*intermediates!$B$73/intermediates!$B$71</f>
        <v>6.1612049867591594</v>
      </c>
      <c r="GK152" s="218">
        <f>CL152*conversions!$C$1*1000000/data!GJ152</f>
        <v>4057975210290.2505</v>
      </c>
      <c r="GL152" s="218">
        <f>MIN(1,FN152)*(intermediates!$B$75-data!$GL$69)+data!$GL$69</f>
        <v>1</v>
      </c>
      <c r="GM152" s="218">
        <f>GL152*intermediates!$B$74*(FS152+GC152+GK152+GG152+GF152+GB152+FV152)</f>
        <v>3872863024785.272</v>
      </c>
      <c r="GN152" s="218">
        <f>MIN(1,FN152)*intermediates!$B$76</f>
        <v>0.12</v>
      </c>
      <c r="GO152" s="218">
        <f t="shared" si="275"/>
        <v>3563033982802.4497</v>
      </c>
      <c r="GP152" s="218">
        <f>IF(A152&gt;intermediates!$B$29,MIN(1,(A152-intermediates!$B$29)/(intermediates!$B$31-intermediates!$B$29))*intermediates!$B$77,0)</f>
        <v>0.15</v>
      </c>
      <c r="GQ152" s="218">
        <f>IF(AND(A152&gt;intermediates!$B$29+intermediates!$B$30,data!GP152&lt;intermediates!$B$77),1,0)</f>
        <v>0</v>
      </c>
      <c r="GR152" s="218">
        <f t="shared" si="243"/>
        <v>7205893461843.75</v>
      </c>
      <c r="GS152" s="218">
        <f t="shared" si="244"/>
        <v>42324071192912.641</v>
      </c>
      <c r="GT152" s="218">
        <f t="shared" si="238"/>
        <v>86708720794625</v>
      </c>
      <c r="GU152" s="218">
        <f t="shared" si="245"/>
        <v>45875324510843.75</v>
      </c>
      <c r="GV152" s="218">
        <f t="shared" si="246"/>
        <v>29691949856687.086</v>
      </c>
      <c r="GW152" s="218">
        <f t="shared" si="247"/>
        <v>5715218552712.3594</v>
      </c>
      <c r="GX152" s="218">
        <f>MIN(intermediates!$B$88,FN152*intermediates!$B$87*GO152)</f>
        <v>1781516991401.2249</v>
      </c>
      <c r="GY152" s="218">
        <f t="shared" si="248"/>
        <v>1781516991401.2249</v>
      </c>
      <c r="GZ152" s="218">
        <f>MIN(intermediates!$B$88-GX152,intermediates!$B$87*data!GW152*FN152)</f>
        <v>2798483008598.7754</v>
      </c>
      <c r="HA152" s="218">
        <f t="shared" si="276"/>
        <v>2916735544113.584</v>
      </c>
      <c r="HB152" s="218">
        <f t="shared" si="277"/>
        <v>4580000000000</v>
      </c>
      <c r="HC152" s="218">
        <f t="shared" si="249"/>
        <v>6561446427094.166</v>
      </c>
      <c r="HD152" s="218">
        <f>HC152*intermediates!$B$79/(10000*1000000000)</f>
        <v>435.51078650595906</v>
      </c>
      <c r="HE152" s="218">
        <f>(GV152*intermediates!$B$80+GV152*GL152*intermediates!$B$82)/(10000*1000000000)</f>
        <v>1107.0092541601932</v>
      </c>
      <c r="HF152" s="218">
        <f>GU152*intermediates!$B$78/(10000*1000000000)</f>
        <v>4619.6154707550731</v>
      </c>
      <c r="HG152" s="218">
        <f>HB152*intermediates!$B$81/(10000*1000000000)</f>
        <v>1151.2448721556611</v>
      </c>
      <c r="HH152" s="218">
        <f t="shared" si="250"/>
        <v>0</v>
      </c>
      <c r="HI152" s="218">
        <f t="shared" si="251"/>
        <v>0.29511627870920165</v>
      </c>
      <c r="HJ152" s="218">
        <f t="shared" si="252"/>
        <v>2.6107478970467923</v>
      </c>
      <c r="HK152" s="218">
        <f ca="1">SUM(HJ152:INDIRECT(ADDRESS(MAX(CELL("row",HJ152)-intermediates!$B$83,69),CELL("col",HJ152))))/intermediates!$B$83+SUM(HH152:INDIRECT(ADDRESS(MAX(CELL("row",HH152)-intermediates!$B$84,69),CELL("col",HH152))))/intermediates!$B$84+SUM(HI152:INDIRECT(ADDRESS(MAX(CELL("row",HI152)-intermediates!$B$85,69),CELL("col",HI152))))/intermediates!$B$85</f>
        <v>20.515830926928388</v>
      </c>
      <c r="HL152" s="218">
        <f t="shared" ca="1" si="278"/>
        <v>-164.53594482364775</v>
      </c>
      <c r="HM152" s="188">
        <f t="shared" si="253"/>
        <v>2096</v>
      </c>
      <c r="HQ152" s="185">
        <f t="shared" si="254"/>
        <v>821.35815212232876</v>
      </c>
      <c r="HR152" s="185">
        <f t="shared" si="255"/>
        <v>533.66184164723154</v>
      </c>
      <c r="HS152" s="185">
        <f t="shared" si="256"/>
        <v>380.40448338220779</v>
      </c>
      <c r="HT152" s="185">
        <f t="shared" si="257"/>
        <v>325.98634345523215</v>
      </c>
      <c r="HU152" s="185">
        <f t="shared" si="258"/>
        <v>311.11586215491428</v>
      </c>
      <c r="HV152" s="185">
        <f t="shared" si="259"/>
        <v>286.22659318252113</v>
      </c>
      <c r="HW152" s="185">
        <f t="shared" si="260"/>
        <v>578.86574935148315</v>
      </c>
      <c r="HX152" s="185">
        <f t="shared" si="261"/>
        <v>12.694927092428228</v>
      </c>
      <c r="HY152" s="185">
        <f t="shared" si="262"/>
        <v>149.67458705117025</v>
      </c>
      <c r="HZ152" s="185">
        <f t="shared" si="279"/>
        <v>3237.6190252959186</v>
      </c>
      <c r="IA152" s="185">
        <f t="shared" si="280"/>
        <v>3399.9885394395174</v>
      </c>
      <c r="IB152" s="185">
        <f t="shared" si="263"/>
        <v>2613.2301845738384</v>
      </c>
      <c r="IC152" s="185">
        <f t="shared" si="311"/>
        <v>3859.1049956765546</v>
      </c>
      <c r="ID152" s="185">
        <f t="shared" si="264"/>
        <v>3106.4030157680772</v>
      </c>
      <c r="IE152" s="184">
        <f t="shared" si="281"/>
        <v>-0.20006611094116833</v>
      </c>
      <c r="IF152" s="184">
        <f t="shared" si="282"/>
        <v>-0.14779680997815342</v>
      </c>
    </row>
    <row r="153" spans="1:240" x14ac:dyDescent="0.3">
      <c r="A153" s="184">
        <v>2097</v>
      </c>
      <c r="E153" s="207">
        <v>7493600.5810000096</v>
      </c>
      <c r="F153" s="207">
        <v>10863614.776000001</v>
      </c>
      <c r="G153" s="207">
        <v>15273554.464</v>
      </c>
      <c r="I153" s="207">
        <f t="shared" si="284"/>
        <v>7493600581.0000095</v>
      </c>
      <c r="J153" s="207">
        <f t="shared" si="284"/>
        <v>10863614776</v>
      </c>
      <c r="K153" s="207">
        <f t="shared" si="284"/>
        <v>15273554464</v>
      </c>
      <c r="L153" s="187">
        <f>IF(intermediates!$B$4&gt;=2,(intermediates!$B$4-2)*K153+(1-(intermediates!$B$4-2))*J153,(intermediates!$B$4-1)*J153+(1-(intermediates!$B$4-1))*I153)</f>
        <v>12492026711.858713</v>
      </c>
      <c r="AJ153" s="184">
        <f>IF(intermediates!$B$46=0,$AJ$74+(intermediates!$B$15-$AJ$74)*MIN(1,(data!A153-data!$A$74)/(intermediates!$B$32-data!$A$74)),IF(A153&lt;2021,$AJ$74+(intermediates!$B$15-$AJ$74)*MIN(1,(data!A153-data!$A$74)/(intermediates!$B$32-data!$A$74)),intermediates!$B$47+(intermediates!$B$15-intermediates!$B$47)*MIN(1,(data!A153-$A$77)/(intermediates!$B$32-$A$77))))</f>
        <v>27400</v>
      </c>
      <c r="AK153" s="192">
        <f t="shared" si="285"/>
        <v>27400</v>
      </c>
      <c r="AL153" s="192">
        <f t="shared" si="321"/>
        <v>342281531904928.75</v>
      </c>
      <c r="AM153" s="192">
        <f>data!AL153/(1000000*conversions!$C$1)</f>
        <v>29338.417020422465</v>
      </c>
      <c r="AN153" s="192">
        <f>IF(intermediates!$B$13=1,($AJ$74+(27400-$AJ$74)*MIN(1,(data!A153-data!$A$74)/(intermediates!$B$32-data!$A$74)))*L153/(1000000*conversions!$C$1),data!AM153)</f>
        <v>29338.417020422465</v>
      </c>
      <c r="AV153" s="214">
        <f>IF(A153&lt;intermediates!$B$29,0,IF(A153&lt;intermediates!$B$31,(data!A153-intermediates!$B$29)*intermediates!$B$26/(intermediates!$B$31-intermediates!$B$29),intermediates!$B$26))</f>
        <v>10</v>
      </c>
      <c r="AW153" s="212">
        <f>MIN(AW152+intermediates!$B$16,intermediates!$B$17*data!$AW$74)</f>
        <v>1897.5897864678325</v>
      </c>
      <c r="AX153" s="212">
        <f>AV153*1000/conversions!$C$16/intermediates!$B$40</f>
        <v>8187.0584968062822</v>
      </c>
      <c r="AY153" s="212">
        <f>AX153*(1-intermediates!$B$39)*intermediates!$B$28/(conversions!$C$2)</f>
        <v>2143.0300372958864</v>
      </c>
      <c r="AZ153" s="213">
        <f>IF(A153&lt;intermediates!$B$29,0,MIN(intermediates!$B$25,intermediates!$B$25*(A153-intermediates!$B$29)/(intermediates!$B$31-intermediates!$B$29)))</f>
        <v>0</v>
      </c>
      <c r="BA153" s="212">
        <f>IF(A153&lt;intermediates!$B$29,data!$BA$74,IF(intermediates!$B$23&gt;data!$BA$74,MIN(intermediates!$B$23,data!$BA$74+(intermediates!$B$23-data!$BA$74)*((data!A153-intermediates!$B$29)/(intermediates!$B$31-intermediates!$B$29))),MAX(intermediates!$B$23,data!$BA$74+(intermediates!$B$23-data!$BA$74)*((data!A153-intermediates!$B$29)/(intermediates!$B$31-intermediates!$B$29)))))</f>
        <v>0.08</v>
      </c>
      <c r="BB153" s="212">
        <f t="shared" si="286"/>
        <v>2347.073361633797</v>
      </c>
      <c r="BC153" s="212">
        <f t="shared" si="303"/>
        <v>2347.073361633797</v>
      </c>
      <c r="BD153" s="212">
        <f t="shared" si="304"/>
        <v>0</v>
      </c>
      <c r="BE153" s="214">
        <f>MAX(0,MIN(1,(data!A153-intermediates!$B$29)/(intermediates!$B$31-intermediates!$B$29)))*((intermediates!$B$38*L153)-$BE$69*1000000000)/1000000000+$BE$69</f>
        <v>1561.5033389823391</v>
      </c>
      <c r="BF153" s="214">
        <f t="shared" si="237"/>
        <v>1561.5033389823391</v>
      </c>
      <c r="BG153" s="214">
        <f t="shared" si="305"/>
        <v>0</v>
      </c>
      <c r="BH153" s="214">
        <f>BD153*conversions!$C$2/conversions!$C$17+BG153*conversions!$C$6/conversions!$C$10</f>
        <v>0</v>
      </c>
      <c r="BI153" s="214">
        <f>BH153*intermediates!$B$41*conversions!$C$11/(conversions!$C$2*conversions!$C$6*intermediates!$B$42)</f>
        <v>0</v>
      </c>
      <c r="BJ153" s="214">
        <f>BH153*intermediates!$B$43/(conversions!$C$1*intermediates!$B$42)</f>
        <v>0</v>
      </c>
      <c r="BK153" s="214">
        <f t="shared" si="287"/>
        <v>0</v>
      </c>
      <c r="BL153" s="214">
        <f t="shared" si="288"/>
        <v>29338.417020422465</v>
      </c>
      <c r="BM153" s="214">
        <f t="shared" si="289"/>
        <v>22950.723835024946</v>
      </c>
      <c r="BN153" s="214">
        <f>IF(A153&lt;intermediates!$B$29,MIN(BO152+intermediates!$B$33*AN152),MIN(BO152*intermediates!$B$35,BO152+intermediates!$B$37*AN152))</f>
        <v>23732.912045824174</v>
      </c>
      <c r="BO153" s="212">
        <f>IF(A153&lt;intermediates!$B$29,MIN(BM153,BO152+intermediates!$B$33*AN152),MIN(BM153,BO152*intermediates!$B$35,BO152+intermediates!$B$37*AN152))</f>
        <v>22950.723835024946</v>
      </c>
      <c r="BP153" s="214">
        <f t="shared" si="290"/>
        <v>782.18821079922782</v>
      </c>
      <c r="BQ153" s="214">
        <f t="shared" si="291"/>
        <v>0</v>
      </c>
      <c r="BR153" s="212" t="str">
        <f t="shared" si="322"/>
        <v/>
      </c>
      <c r="BS153" s="212">
        <f>BP153*conversions!$C$1*intermediates!$B$42/intermediates!$B$43</f>
        <v>1745.7474797260509</v>
      </c>
      <c r="BT153" s="214">
        <f>MIN(BT152+BS153,intermediates!$B$27*1000)</f>
        <v>0</v>
      </c>
      <c r="BU153" s="219" t="str">
        <f>IF(AND(BT153=intermediates!$B$27*1000,BT152&lt;&gt;intermediates!$B$27*1000),A153,"")</f>
        <v/>
      </c>
      <c r="BV153" s="212">
        <f>BT153*intermediates!$B$43/(conversions!$C$1*intermediates!$B$42)</f>
        <v>0</v>
      </c>
      <c r="BW153" s="214">
        <f t="shared" si="292"/>
        <v>29338.417020422465</v>
      </c>
      <c r="BX153" s="214">
        <f t="shared" si="293"/>
        <v>22950.723835024946</v>
      </c>
      <c r="BY153" s="227">
        <f>IF(OR(BQ153&gt;0,BT153&lt;&gt;intermediates!$B$27*1000),MAX(0,(BX153-BX152)/AM152),0.000000000001)</f>
        <v>9.9999999999999998E-13</v>
      </c>
      <c r="BZ153" s="322">
        <f>BH153*intermediates!$B$49*1000000</f>
        <v>0</v>
      </c>
      <c r="CA153" s="322">
        <f>BI153*conversions!$C$1*1000000*intermediates!$B$50</f>
        <v>0</v>
      </c>
      <c r="CB153" s="322">
        <f>BT153*1000000*intermediates!$B$49</f>
        <v>0</v>
      </c>
      <c r="CC153" s="214">
        <f>BW153*conversions!$C$1*1000000/L153</f>
        <v>27400</v>
      </c>
      <c r="CD153" s="173">
        <f t="shared" si="239"/>
        <v>2097</v>
      </c>
      <c r="CE153" s="173"/>
      <c r="CF153" s="173"/>
      <c r="CG153" s="173"/>
      <c r="CH153" s="173"/>
      <c r="CI153" s="173">
        <f t="shared" si="294"/>
        <v>0</v>
      </c>
      <c r="CJ153" s="173">
        <f t="shared" si="295"/>
        <v>1897.5897864678325</v>
      </c>
      <c r="CK153" s="173">
        <f t="shared" si="296"/>
        <v>2347.073361633797</v>
      </c>
      <c r="CL153" s="173">
        <f t="shared" si="297"/>
        <v>2143.0300372958864</v>
      </c>
      <c r="CM153" s="173"/>
      <c r="CN153" s="173"/>
      <c r="CO153" s="329">
        <f t="shared" si="306"/>
        <v>22950.723835024946</v>
      </c>
      <c r="CP153" s="174">
        <f t="shared" si="298"/>
        <v>0</v>
      </c>
      <c r="CQ153" s="228">
        <f t="shared" si="299"/>
        <v>10</v>
      </c>
      <c r="CR153" s="228">
        <f t="shared" si="307"/>
        <v>615</v>
      </c>
      <c r="CS153" s="214">
        <f t="shared" ca="1" si="300"/>
        <v>-30.688175982873091</v>
      </c>
      <c r="CT153" s="190">
        <f t="shared" ca="1" si="301"/>
        <v>-2.456621066439181</v>
      </c>
      <c r="CU153" s="190">
        <f t="shared" ca="1" si="323"/>
        <v>-30.688175982873087</v>
      </c>
      <c r="CV153" s="198">
        <f t="shared" si="308"/>
        <v>3203.9310777670239</v>
      </c>
      <c r="CW153" s="198">
        <f t="shared" ca="1" si="309"/>
        <v>3796.8898451957907</v>
      </c>
      <c r="CX153" s="198">
        <f t="shared" ca="1" si="302"/>
        <v>2732.7788466078018</v>
      </c>
      <c r="CY153" s="198">
        <f t="shared" ca="1" si="310"/>
        <v>-1064.11099858799</v>
      </c>
      <c r="CZ153" s="199">
        <f ca="1">IF(CX153&lt;intermediates!$B$55,intermediates!$B$56+(CX153-intermediates!$B$55)*intermediates!$B$53,intermediates!$B$56+(data!CX153-intermediates!$B$55)*intermediates!$B$58)</f>
        <v>1.4551760667623816</v>
      </c>
      <c r="DG153" s="201">
        <f>IF(A153&gt;MAX(intermediates!B$31,intermediates!$B$32),DG152,DG152+intermediates!$B$60*DG$73)</f>
        <v>19505207416250</v>
      </c>
      <c r="DH153" s="201">
        <f>IF(A153&gt;MAX(intermediates!B$31,intermediates!$B$32),DH152,DH152+intermediates!$B$61*DH$73)</f>
        <v>28534082329375</v>
      </c>
      <c r="DI153" s="201">
        <f>IF(A153&gt;MAX(intermediates!B$31,intermediates!$B$32),DI152,DI152+intermediates!$B$62*DI$73)</f>
        <v>38669431049000</v>
      </c>
      <c r="DJ153" s="221"/>
      <c r="EE153" s="218"/>
      <c r="EF153" s="212">
        <f>$EF$69+intermediates!$B$90*(A153-2013)*intermediates!$B$92+intermediates!$B$91*intermediates!$B$92*(A153-2013)^2</f>
        <v>3171.1958485492187</v>
      </c>
      <c r="EH153" s="212">
        <f>IF(A153&lt;intermediates!$B$29,data!EH152,IF(A153&lt;intermediates!$B$31,data!$EH$69+(intermediates!$B$93-data!$EH$69)*(data!A153-intermediates!$B$29)/(intermediates!$B$31-intermediates!$B$29),intermediates!$B$93))</f>
        <v>2.522212345090466E-2</v>
      </c>
      <c r="EI153" s="212">
        <f t="shared" si="265"/>
        <v>2.522212345090466E-2</v>
      </c>
      <c r="EN153" s="218"/>
      <c r="EO153" s="212">
        <f t="shared" si="266"/>
        <v>3091.2115553701137</v>
      </c>
      <c r="EQ153" s="212">
        <f t="shared" si="267"/>
        <v>79.984293179104952</v>
      </c>
      <c r="ET153" s="214">
        <f>IF(A153&lt;intermediates!$B$29,ET152+intermediates!$B$63,ET152+intermediates!$B$63*intermediates!$B$67)</f>
        <v>1623.7010716154243</v>
      </c>
      <c r="EU153" s="215">
        <f t="shared" si="268"/>
        <v>1623.7010716154243</v>
      </c>
      <c r="EV153" s="216">
        <f>data!EU153*conversions!$C$13</f>
        <v>1.8883643462887385</v>
      </c>
      <c r="EX153" s="212">
        <f>intermediates!$B$64+intermediates!$B$64*(EXP(-(data!A153-intermediates!$B$66)/intermediates!$B$65)-1)</f>
        <v>4.5410315488618701E-3</v>
      </c>
      <c r="EY153" s="217">
        <f>IF(A153&lt;intermediates!$B$29,data!EX153,data!EY152+(data!EX153-data!EX152)*intermediates!$B$68)</f>
        <v>4.5410315488618701E-3</v>
      </c>
      <c r="EZ153" s="217">
        <f t="shared" si="269"/>
        <v>4.5410315488618701E-3</v>
      </c>
      <c r="FB153" s="212">
        <f>intermediates!$B$94+intermediates!$B$95+(intermediates!$B$95*(EXP(-(data!A153-intermediates!$B$97)/intermediates!$B$96)-1))</f>
        <v>1.5345211914120345</v>
      </c>
      <c r="FC153" s="217">
        <f>IF(A153&lt;intermediates!$B$29,data!FB153,data!FC152+(data!FB153-data!FB152)*intermediates!$B$68)</f>
        <v>1.5345211914120345</v>
      </c>
      <c r="FD153" s="212">
        <f t="shared" si="270"/>
        <v>1.5345211914120345</v>
      </c>
      <c r="FF153" s="184">
        <f>intermediates!$B$98+intermediates!$B$99*EXP(-(A153-intermediates!$B$101)/intermediates!$B$100)</f>
        <v>0.9023505365579928</v>
      </c>
      <c r="FG153" s="184">
        <f t="shared" si="240"/>
        <v>0.9023505365579928</v>
      </c>
      <c r="FI153" s="184">
        <f>intermediates!$B$102+intermediates!$B$103*EXP(-(A153-intermediates!$B$105)/intermediates!$B$104)</f>
        <v>1.403594010998158E-2</v>
      </c>
      <c r="FJ153" s="184">
        <f t="shared" si="271"/>
        <v>1.403594010998158E-2</v>
      </c>
      <c r="FL153" s="184">
        <f>intermediates!$B$106</f>
        <v>4.5616870531049965E-2</v>
      </c>
      <c r="FM153" s="184">
        <f t="shared" si="272"/>
        <v>4.5616870531049965E-2</v>
      </c>
      <c r="FN153" s="218">
        <f>IF(A153&lt;intermediates!$B$29,0,IF(A153&lt;intermediates!$B$31,(data!A153-intermediates!$B$29)/(intermediates!$B$31-intermediates!$B$29),1))</f>
        <v>1</v>
      </c>
      <c r="FO153" s="218">
        <f t="shared" si="312"/>
        <v>364695563326718.94</v>
      </c>
      <c r="FP153" s="218">
        <f t="shared" si="313"/>
        <v>404161740422792.44</v>
      </c>
      <c r="FQ153" s="218">
        <f t="shared" si="314"/>
        <v>1835311214102.8223</v>
      </c>
      <c r="FR153" s="218">
        <f t="shared" si="315"/>
        <v>620194755436744.88</v>
      </c>
      <c r="FS153" s="218">
        <f t="shared" si="316"/>
        <v>381963630053.96771</v>
      </c>
      <c r="FT153" s="218">
        <f>intermediates!$B$69*data!EU153/intermediates!$B$71</f>
        <v>4.1328611958856971</v>
      </c>
      <c r="FU153" s="218">
        <f>BC153*conversions!$C$1*1000000</f>
        <v>27382522552394.297</v>
      </c>
      <c r="FV153" s="218">
        <f t="shared" si="320"/>
        <v>6625560659925.8311</v>
      </c>
      <c r="FX153" s="221"/>
      <c r="FY153" s="221"/>
      <c r="FZ153" s="221"/>
      <c r="GA153" s="218">
        <f t="shared" si="241"/>
        <v>1561.5033389823391</v>
      </c>
      <c r="GB153" s="218">
        <f>GA153*1000000*10000*intermediates!$B$71/(intermediates!$B$72*data!EU153)</f>
        <v>4722827797050.2324</v>
      </c>
      <c r="GC153" s="218">
        <f t="shared" si="317"/>
        <v>8680573517386.3994</v>
      </c>
      <c r="GD153" s="218">
        <f t="shared" si="283"/>
        <v>20410925604416.43</v>
      </c>
      <c r="GE153" s="218">
        <f t="shared" si="318"/>
        <v>21705733621993.902</v>
      </c>
      <c r="GF153" s="218">
        <f t="shared" si="319"/>
        <v>304660377161.51996</v>
      </c>
      <c r="GG153" s="218">
        <f t="shared" si="273"/>
        <v>990147640415.9541</v>
      </c>
      <c r="GH153" s="218">
        <f t="shared" si="242"/>
        <v>8905181094299.4824</v>
      </c>
      <c r="GI153" s="218">
        <f t="shared" si="274"/>
        <v>157356053140.88477</v>
      </c>
      <c r="GJ153" s="218">
        <f>ET153*intermediates!$B$73/intermediates!$B$71</f>
        <v>6.1992917938285457</v>
      </c>
      <c r="GK153" s="218">
        <f>CL153*conversions!$C$1*1000000/data!GJ153</f>
        <v>4033044085241.3315</v>
      </c>
      <c r="GL153" s="218">
        <f>MIN(1,FN153)*(intermediates!$B$75-data!$GL$69)+data!$GL$69</f>
        <v>1</v>
      </c>
      <c r="GM153" s="218">
        <f>GL153*intermediates!$B$74*(FS153+GC153+GK153+GG153+GF153+GB153+FV153)</f>
        <v>3860816656085.2856</v>
      </c>
      <c r="GN153" s="218">
        <f>MIN(1,FN153)*intermediates!$B$76</f>
        <v>0.12</v>
      </c>
      <c r="GO153" s="218">
        <f t="shared" si="275"/>
        <v>3551951323598.4624</v>
      </c>
      <c r="GP153" s="218">
        <f>IF(A153&gt;intermediates!$B$29,MIN(1,(A153-intermediates!$B$29)/(intermediates!$B$31-intermediates!$B$29))*intermediates!$B$77,0)</f>
        <v>0.15</v>
      </c>
      <c r="GQ153" s="218">
        <f>IF(AND(A153&gt;intermediates!$B$29+intermediates!$B$30,data!GP153&lt;intermediates!$B$77),1,0)</f>
        <v>0</v>
      </c>
      <c r="GR153" s="218">
        <f t="shared" si="243"/>
        <v>7205893461843.75</v>
      </c>
      <c r="GS153" s="218">
        <f t="shared" si="244"/>
        <v>42192750362865.555</v>
      </c>
      <c r="GT153" s="218">
        <f t="shared" si="238"/>
        <v>86708720794625</v>
      </c>
      <c r="GU153" s="218">
        <f t="shared" si="245"/>
        <v>45875324510843.75</v>
      </c>
      <c r="GV153" s="218">
        <f t="shared" si="246"/>
        <v>29599594363320.52</v>
      </c>
      <c r="GW153" s="218">
        <f t="shared" si="247"/>
        <v>5846539382759.4453</v>
      </c>
      <c r="GX153" s="218">
        <f>MIN(intermediates!$B$88,FN153*intermediates!$B$87*GO153)</f>
        <v>1775975661799.2312</v>
      </c>
      <c r="GY153" s="218">
        <f t="shared" si="248"/>
        <v>1775975661799.2312</v>
      </c>
      <c r="GZ153" s="218">
        <f>MIN(intermediates!$B$88-GX153,intermediates!$B$87*data!GW153*FN153)</f>
        <v>2804024338200.7686</v>
      </c>
      <c r="HA153" s="218">
        <f t="shared" si="276"/>
        <v>3042515044558.6768</v>
      </c>
      <c r="HB153" s="218">
        <f t="shared" si="277"/>
        <v>4580000000000</v>
      </c>
      <c r="HC153" s="218">
        <f t="shared" si="249"/>
        <v>6653801920460.7305</v>
      </c>
      <c r="HD153" s="218">
        <f>HC153*intermediates!$B$79/(10000*1000000000)</f>
        <v>441.64080890286994</v>
      </c>
      <c r="HE153" s="218">
        <f>(GV153*intermediates!$B$80+GV153*GL153*intermediates!$B$82)/(10000*1000000000)</f>
        <v>1103.565950964452</v>
      </c>
      <c r="HF153" s="218">
        <f>GU153*intermediates!$B$78/(10000*1000000000)</f>
        <v>4619.6154707550731</v>
      </c>
      <c r="HG153" s="218">
        <f>HB153*intermediates!$B$81/(10000*1000000000)</f>
        <v>1151.2448721556611</v>
      </c>
      <c r="HH153" s="218">
        <f t="shared" si="250"/>
        <v>0</v>
      </c>
      <c r="HI153" s="218">
        <f t="shared" si="251"/>
        <v>0</v>
      </c>
      <c r="HJ153" s="218">
        <f t="shared" si="252"/>
        <v>2.6867192011696375</v>
      </c>
      <c r="HK153" s="218">
        <f ca="1">SUM(HJ153:INDIRECT(ADDRESS(MAX(CELL("row",HJ153)-intermediates!$B$83,69),CELL("col",HJ153))))/intermediates!$B$83+SUM(HH153:INDIRECT(ADDRESS(MAX(CELL("row",HH153)-intermediates!$B$84,69),CELL("col",HH153))))/intermediates!$B$84+SUM(HI153:INDIRECT(ADDRESS(MAX(CELL("row",HI153)-intermediates!$B$85,69),CELL("col",HI153))))/intermediates!$B$85</f>
        <v>20.688175982873091</v>
      </c>
      <c r="HL153" s="218">
        <f t="shared" ca="1" si="278"/>
        <v>-143.84776884077468</v>
      </c>
      <c r="HM153" s="188">
        <f t="shared" si="253"/>
        <v>2097</v>
      </c>
      <c r="HQ153" s="185">
        <f t="shared" si="254"/>
        <v>816.51995686128987</v>
      </c>
      <c r="HR153" s="185">
        <f t="shared" si="255"/>
        <v>530.38316461780937</v>
      </c>
      <c r="HS153" s="185">
        <f t="shared" si="256"/>
        <v>378.06737897597031</v>
      </c>
      <c r="HT153" s="185">
        <f t="shared" si="257"/>
        <v>322.84946056133168</v>
      </c>
      <c r="HU153" s="185">
        <f t="shared" si="258"/>
        <v>309.06247201826767</v>
      </c>
      <c r="HV153" s="185">
        <f t="shared" si="259"/>
        <v>284.33747425680622</v>
      </c>
      <c r="HW153" s="185">
        <f t="shared" si="260"/>
        <v>576.83942150101041</v>
      </c>
      <c r="HX153" s="185">
        <f t="shared" si="261"/>
        <v>12.596519105383138</v>
      </c>
      <c r="HY153" s="185">
        <f t="shared" si="262"/>
        <v>146.91861108178361</v>
      </c>
      <c r="HZ153" s="185">
        <f t="shared" si="279"/>
        <v>3218.0593287924853</v>
      </c>
      <c r="IA153" s="185">
        <f t="shared" si="280"/>
        <v>3377.5744589796523</v>
      </c>
      <c r="IB153" s="185">
        <f t="shared" si="263"/>
        <v>2613.2301845738384</v>
      </c>
      <c r="IC153" s="185">
        <f t="shared" si="311"/>
        <v>3845.5961433400698</v>
      </c>
      <c r="ID153" s="185">
        <f t="shared" si="264"/>
        <v>3095.5290074981194</v>
      </c>
      <c r="IE153" s="184">
        <f t="shared" si="281"/>
        <v>-0.20272360976994197</v>
      </c>
      <c r="IF153" s="184">
        <f t="shared" si="282"/>
        <v>-0.15119279555344367</v>
      </c>
    </row>
    <row r="154" spans="1:240" x14ac:dyDescent="0.3">
      <c r="A154" s="211">
        <v>2098</v>
      </c>
      <c r="E154" s="207">
        <v>7437040.2029999904</v>
      </c>
      <c r="F154" s="207">
        <v>10868347.636</v>
      </c>
      <c r="G154" s="207">
        <v>15382612.955</v>
      </c>
      <c r="I154" s="207">
        <f t="shared" si="284"/>
        <v>7437040202.9999905</v>
      </c>
      <c r="J154" s="207">
        <f t="shared" si="284"/>
        <v>10868347636</v>
      </c>
      <c r="K154" s="207">
        <f t="shared" si="284"/>
        <v>15382612955</v>
      </c>
      <c r="L154" s="187">
        <f>IF(intermediates!$B$4&gt;=2,(intermediates!$B$4-2)*K154+(1-(intermediates!$B$4-2))*J154,(intermediates!$B$4-1)*J154+(1-(intermediates!$B$4-1))*I154)</f>
        <v>12535282797.742884</v>
      </c>
      <c r="AJ154" s="184">
        <f>IF(intermediates!$B$46=0,$AJ$74+(intermediates!$B$15-$AJ$74)*MIN(1,(data!A154-data!$A$74)/(intermediates!$B$32-data!$A$74)),IF(A154&lt;2021,$AJ$74+(intermediates!$B$15-$AJ$74)*MIN(1,(data!A154-data!$A$74)/(intermediates!$B$32-data!$A$74)),intermediates!$B$47+(intermediates!$B$15-intermediates!$B$47)*MIN(1,(data!A154-$A$77)/(intermediates!$B$32-$A$77))))</f>
        <v>27400</v>
      </c>
      <c r="AK154" s="192">
        <f t="shared" si="285"/>
        <v>27400</v>
      </c>
      <c r="AL154" s="192">
        <f t="shared" si="321"/>
        <v>343466748658155</v>
      </c>
      <c r="AM154" s="192">
        <f>data!AL154/(1000000*conversions!$C$1)</f>
        <v>29440.007027841857</v>
      </c>
      <c r="AN154" s="192">
        <f>IF(intermediates!$B$13=1,($AJ$74+(27400-$AJ$74)*MIN(1,(data!A154-data!$A$74)/(intermediates!$B$32-data!$A$74)))*L154/(1000000*conversions!$C$1),data!AM154)</f>
        <v>29440.007027841857</v>
      </c>
      <c r="AV154" s="214">
        <f>IF(A154&lt;intermediates!$B$29,0,IF(A154&lt;intermediates!$B$31,(data!A154-intermediates!$B$29)*intermediates!$B$26/(intermediates!$B$31-intermediates!$B$29),intermediates!$B$26))</f>
        <v>10</v>
      </c>
      <c r="AW154" s="212">
        <f>MIN(AW153+intermediates!$B$16,intermediates!$B$17*data!$AW$74)</f>
        <v>1897.5897864678325</v>
      </c>
      <c r="AX154" s="212">
        <f>AV154*1000/conversions!$C$16/intermediates!$B$40</f>
        <v>8187.0584968062822</v>
      </c>
      <c r="AY154" s="212">
        <f>AX154*(1-intermediates!$B$39)*intermediates!$B$28/(conversions!$C$2)</f>
        <v>2143.0300372958864</v>
      </c>
      <c r="AZ154" s="213">
        <f>IF(A154&lt;intermediates!$B$29,0,MIN(intermediates!$B$25,intermediates!$B$25*(A154-intermediates!$B$29)/(intermediates!$B$31-intermediates!$B$29)))</f>
        <v>0</v>
      </c>
      <c r="BA154" s="212">
        <f>IF(A154&lt;intermediates!$B$29,data!$BA$74,IF(intermediates!$B$23&gt;data!$BA$74,MIN(intermediates!$B$23,data!$BA$74+(intermediates!$B$23-data!$BA$74)*((data!A154-intermediates!$B$29)/(intermediates!$B$31-intermediates!$B$29))),MAX(intermediates!$B$23,data!$BA$74+(intermediates!$B$23-data!$BA$74)*((data!A154-intermediates!$B$29)/(intermediates!$B$31-intermediates!$B$29)))))</f>
        <v>0.08</v>
      </c>
      <c r="BB154" s="212">
        <f t="shared" si="286"/>
        <v>2355.2005622273487</v>
      </c>
      <c r="BC154" s="212">
        <f t="shared" si="303"/>
        <v>2355.2005622273487</v>
      </c>
      <c r="BD154" s="212">
        <f t="shared" si="304"/>
        <v>0</v>
      </c>
      <c r="BE154" s="214">
        <f>MAX(0,MIN(1,(data!A154-intermediates!$B$29)/(intermediates!$B$31-intermediates!$B$29)))*((intermediates!$B$38*L154)-$BE$69*1000000000)/1000000000+$BE$69</f>
        <v>1566.9103497178603</v>
      </c>
      <c r="BF154" s="214">
        <f t="shared" si="237"/>
        <v>1566.9103497178603</v>
      </c>
      <c r="BG154" s="214">
        <f t="shared" si="305"/>
        <v>0</v>
      </c>
      <c r="BH154" s="214">
        <f>BD154*conversions!$C$2/conversions!$C$17+BG154*conversions!$C$6/conversions!$C$10</f>
        <v>0</v>
      </c>
      <c r="BI154" s="214">
        <f>BH154*intermediates!$B$41*conversions!$C$11/(conversions!$C$2*conversions!$C$6*intermediates!$B$42)</f>
        <v>0</v>
      </c>
      <c r="BJ154" s="214">
        <f>BH154*intermediates!$B$43/(conversions!$C$1*intermediates!$B$42)</f>
        <v>0</v>
      </c>
      <c r="BK154" s="214">
        <f t="shared" si="287"/>
        <v>0</v>
      </c>
      <c r="BL154" s="214">
        <f t="shared" si="288"/>
        <v>29440.007027841857</v>
      </c>
      <c r="BM154" s="214">
        <f t="shared" si="289"/>
        <v>23044.186641850789</v>
      </c>
      <c r="BN154" s="214">
        <f>IF(A154&lt;intermediates!$B$29,MIN(BO153+intermediates!$B$33*AN153),MIN(BO153*intermediates!$B$35,BO153+intermediates!$B$37*AN153))</f>
        <v>23830.475213381091</v>
      </c>
      <c r="BO154" s="212">
        <f>IF(A154&lt;intermediates!$B$29,MIN(BM154,BO153+intermediates!$B$33*AN153),MIN(BM154,BO153*intermediates!$B$35,BO153+intermediates!$B$37*AN153))</f>
        <v>23044.186641850789</v>
      </c>
      <c r="BP154" s="214">
        <f t="shared" si="290"/>
        <v>786.28857153030185</v>
      </c>
      <c r="BQ154" s="214">
        <f t="shared" si="291"/>
        <v>0</v>
      </c>
      <c r="BR154" s="212" t="str">
        <f t="shared" si="322"/>
        <v/>
      </c>
      <c r="BS154" s="212">
        <f>BP154*conversions!$C$1*intermediates!$B$42/intermediates!$B$43</f>
        <v>1754.8989784490066</v>
      </c>
      <c r="BT154" s="214">
        <f>MIN(BT153+BS154,intermediates!$B$27*1000)</f>
        <v>0</v>
      </c>
      <c r="BU154" s="219" t="str">
        <f>IF(AND(BT154=intermediates!$B$27*1000,BT153&lt;&gt;intermediates!$B$27*1000),A154,"")</f>
        <v/>
      </c>
      <c r="BV154" s="212">
        <f>BT154*intermediates!$B$43/(conversions!$C$1*intermediates!$B$42)</f>
        <v>0</v>
      </c>
      <c r="BW154" s="214">
        <f t="shared" si="292"/>
        <v>29440.007027841857</v>
      </c>
      <c r="BX154" s="214">
        <f t="shared" si="293"/>
        <v>23044.186641850789</v>
      </c>
      <c r="BY154" s="227">
        <f>IF(OR(BQ154&gt;0,BT154&lt;&gt;intermediates!$B$27*1000),MAX(0,(BX154-BX153)/AM153),0.000000000001)</f>
        <v>9.9999999999999998E-13</v>
      </c>
      <c r="BZ154" s="322">
        <f>BH154*intermediates!$B$49*1000000</f>
        <v>0</v>
      </c>
      <c r="CA154" s="322">
        <f>BI154*conversions!$C$1*1000000*intermediates!$B$50</f>
        <v>0</v>
      </c>
      <c r="CB154" s="322">
        <f>BT154*1000000*intermediates!$B$49</f>
        <v>0</v>
      </c>
      <c r="CC154" s="214">
        <f>BW154*conversions!$C$1*1000000/L154</f>
        <v>27399.999999999993</v>
      </c>
      <c r="CD154" s="173">
        <f t="shared" si="239"/>
        <v>2098</v>
      </c>
      <c r="CE154" s="173"/>
      <c r="CF154" s="173"/>
      <c r="CG154" s="173"/>
      <c r="CH154" s="173"/>
      <c r="CI154" s="173">
        <f t="shared" si="294"/>
        <v>0</v>
      </c>
      <c r="CJ154" s="173">
        <f t="shared" si="295"/>
        <v>1897.5897864678325</v>
      </c>
      <c r="CK154" s="173">
        <f t="shared" si="296"/>
        <v>2355.2005622273487</v>
      </c>
      <c r="CL154" s="173">
        <f t="shared" si="297"/>
        <v>2143.0300372958864</v>
      </c>
      <c r="CM154" s="173"/>
      <c r="CN154" s="173"/>
      <c r="CO154" s="329">
        <f t="shared" si="306"/>
        <v>23044.186641850789</v>
      </c>
      <c r="CP154" s="174">
        <f t="shared" si="298"/>
        <v>0</v>
      </c>
      <c r="CQ154" s="228">
        <f t="shared" si="299"/>
        <v>10</v>
      </c>
      <c r="CR154" s="228">
        <f t="shared" si="307"/>
        <v>625</v>
      </c>
      <c r="CS154" s="214">
        <f t="shared" ca="1" si="300"/>
        <v>-30.860223939527813</v>
      </c>
      <c r="CT154" s="190">
        <f t="shared" ca="1" si="301"/>
        <v>-2.4618689851244948</v>
      </c>
      <c r="CU154" s="190">
        <f t="shared" ca="1" si="323"/>
        <v>-30.86022393952781</v>
      </c>
      <c r="CV154" s="198">
        <f t="shared" si="308"/>
        <v>3203.9310777670239</v>
      </c>
      <c r="CW154" s="198">
        <f t="shared" ca="1" si="309"/>
        <v>3796.8898451957907</v>
      </c>
      <c r="CX154" s="198">
        <f t="shared" ca="1" si="302"/>
        <v>2701.9186226682741</v>
      </c>
      <c r="CY154" s="198">
        <f t="shared" ca="1" si="310"/>
        <v>-1094.9712225275177</v>
      </c>
      <c r="CZ154" s="199">
        <f ca="1">IF(CX154&lt;intermediates!$B$55,intermediates!$B$56+(CX154-intermediates!$B$55)*intermediates!$B$53,intermediates!$B$56+(data!CX154-intermediates!$B$55)*intermediates!$B$58)</f>
        <v>1.4383942863129113</v>
      </c>
      <c r="DG154" s="201">
        <f>IF(A154&gt;MAX(intermediates!B$31,intermediates!$B$32),DG153,DG153+intermediates!$B$60*DG$73)</f>
        <v>19505207416250</v>
      </c>
      <c r="DH154" s="201">
        <f>IF(A154&gt;MAX(intermediates!B$31,intermediates!$B$32),DH153,DH153+intermediates!$B$61*DH$73)</f>
        <v>28534082329375</v>
      </c>
      <c r="DI154" s="201">
        <f>IF(A154&gt;MAX(intermediates!B$31,intermediates!$B$32),DI153,DI153+intermediates!$B$62*DI$73)</f>
        <v>38669431049000</v>
      </c>
      <c r="DJ154" s="221"/>
      <c r="EE154" s="218"/>
      <c r="EF154" s="212">
        <f>$EF$69+intermediates!$B$90*(A154-2013)*intermediates!$B$92+intermediates!$B$91*intermediates!$B$92*(A154-2013)^2</f>
        <v>3172.2887385492186</v>
      </c>
      <c r="EH154" s="212">
        <f>IF(A154&lt;intermediates!$B$29,data!EH153,IF(A154&lt;intermediates!$B$31,data!$EH$69+(intermediates!$B$93-data!$EH$69)*(data!A154-intermediates!$B$29)/(intermediates!$B$31-intermediates!$B$29),intermediates!$B$93))</f>
        <v>2.522212345090466E-2</v>
      </c>
      <c r="EI154" s="212">
        <f t="shared" si="265"/>
        <v>2.522212345090466E-2</v>
      </c>
      <c r="EN154" s="218"/>
      <c r="EO154" s="212">
        <f t="shared" si="266"/>
        <v>3092.2768803636154</v>
      </c>
      <c r="EQ154" s="212">
        <f t="shared" si="267"/>
        <v>80.01185818560316</v>
      </c>
      <c r="ET154" s="214">
        <f>IF(A154&lt;intermediates!$B$29,ET153+intermediates!$B$63,ET153+intermediates!$B$63*intermediates!$B$67)</f>
        <v>1633.6766610068671</v>
      </c>
      <c r="EU154" s="215">
        <f t="shared" si="268"/>
        <v>1633.6766610068671</v>
      </c>
      <c r="EV154" s="216">
        <f>data!EU154*conversions!$C$13</f>
        <v>1.8999659567509863</v>
      </c>
      <c r="EX154" s="212">
        <f>intermediates!$B$64+intermediates!$B$64*(EXP(-(data!A154-intermediates!$B$66)/intermediates!$B$65)-1)</f>
        <v>4.4566115631614021E-3</v>
      </c>
      <c r="EY154" s="217">
        <f>IF(A154&lt;intermediates!$B$29,data!EX154,data!EY153+(data!EX154-data!EX153)*intermediates!$B$68)</f>
        <v>4.4566115631614021E-3</v>
      </c>
      <c r="EZ154" s="217">
        <f t="shared" si="269"/>
        <v>4.4566115631614021E-3</v>
      </c>
      <c r="FB154" s="212">
        <f>intermediates!$B$94+intermediates!$B$95+(intermediates!$B$95*(EXP(-(data!A154-intermediates!$B$97)/intermediates!$B$96)-1))</f>
        <v>1.5335797826942146</v>
      </c>
      <c r="FC154" s="217">
        <f>IF(A154&lt;intermediates!$B$29,data!FB154,data!FC153+(data!FB154-data!FB153)*intermediates!$B$68)</f>
        <v>1.5335797826942146</v>
      </c>
      <c r="FD154" s="212">
        <f t="shared" si="270"/>
        <v>1.5335797826942146</v>
      </c>
      <c r="FF154" s="184">
        <f>intermediates!$B$98+intermediates!$B$99*EXP(-(A154-intermediates!$B$101)/intermediates!$B$100)</f>
        <v>0.90251791255842562</v>
      </c>
      <c r="FG154" s="184">
        <f t="shared" si="240"/>
        <v>0.90251791255842562</v>
      </c>
      <c r="FI154" s="184">
        <f>intermediates!$B$102+intermediates!$B$103*EXP(-(A154-intermediates!$B$105)/intermediates!$B$104)</f>
        <v>1.3998301009086198E-2</v>
      </c>
      <c r="FJ154" s="184">
        <f t="shared" si="271"/>
        <v>1.3998301009086198E-2</v>
      </c>
      <c r="FL154" s="184">
        <f>intermediates!$B$106</f>
        <v>4.5616870531049965E-2</v>
      </c>
      <c r="FM154" s="184">
        <f t="shared" si="272"/>
        <v>4.5616870531049965E-2</v>
      </c>
      <c r="FN154" s="218">
        <f>IF(A154&lt;intermediates!$B$29,0,IF(A154&lt;intermediates!$B$31,(data!A154-intermediates!$B$29)/(intermediates!$B$31-intermediates!$B$29),1))</f>
        <v>1</v>
      </c>
      <c r="FO154" s="218">
        <f t="shared" si="312"/>
        <v>366084513378243.56</v>
      </c>
      <c r="FP154" s="218">
        <f t="shared" si="313"/>
        <v>405625759094886.25</v>
      </c>
      <c r="FQ154" s="218">
        <f t="shared" si="314"/>
        <v>1807716448298.3914</v>
      </c>
      <c r="FR154" s="218">
        <f t="shared" si="315"/>
        <v>622059463487911.5</v>
      </c>
      <c r="FS154" s="218">
        <f t="shared" si="316"/>
        <v>380772694092.6756</v>
      </c>
      <c r="FT154" s="218">
        <f>intermediates!$B$69*data!EU154/intermediates!$B$71</f>
        <v>4.1582524005986228</v>
      </c>
      <c r="FU154" s="218">
        <f>BC154*conversions!$C$1*1000000</f>
        <v>27477339892652.398</v>
      </c>
      <c r="FV154" s="218">
        <f t="shared" si="320"/>
        <v>6607905736721.6943</v>
      </c>
      <c r="FX154" s="221"/>
      <c r="FY154" s="221"/>
      <c r="FZ154" s="221"/>
      <c r="GA154" s="218">
        <f t="shared" si="241"/>
        <v>1566.9103497178603</v>
      </c>
      <c r="GB154" s="218">
        <f>GA154*1000000*10000*intermediates!$B$71/(intermediates!$B$72*data!EU154)</f>
        <v>4710243026289.9844</v>
      </c>
      <c r="GC154" s="218">
        <f t="shared" si="317"/>
        <v>8660426282604.9814</v>
      </c>
      <c r="GD154" s="218">
        <f t="shared" si="283"/>
        <v>20359347739709.336</v>
      </c>
      <c r="GE154" s="218">
        <f t="shared" si="318"/>
        <v>21650017230768.504</v>
      </c>
      <c r="GF154" s="218">
        <f t="shared" si="319"/>
        <v>303063458048.20032</v>
      </c>
      <c r="GG154" s="218">
        <f t="shared" si="273"/>
        <v>987606033010.96777</v>
      </c>
      <c r="GH154" s="218">
        <f t="shared" si="242"/>
        <v>8884512555070.0723</v>
      </c>
      <c r="GI154" s="218">
        <f t="shared" si="274"/>
        <v>156686421627.58398</v>
      </c>
      <c r="GJ154" s="218">
        <f>ET154*intermediates!$B$73/intermediates!$B$71</f>
        <v>6.2373786008979337</v>
      </c>
      <c r="GK154" s="218">
        <f>CL154*conversions!$C$1*1000000/data!GJ154</f>
        <v>4008417430070.0693</v>
      </c>
      <c r="GL154" s="218">
        <f>MIN(1,FN154)*(intermediates!$B$75-data!$GL$69)+data!$GL$69</f>
        <v>1</v>
      </c>
      <c r="GM154" s="218">
        <f>GL154*intermediates!$B$74*(FS154+GC154+GK154+GG154+GF154+GB154+FV154)</f>
        <v>3848765199125.7866</v>
      </c>
      <c r="GN154" s="218">
        <f>MIN(1,FN154)*intermediates!$B$76</f>
        <v>0.12</v>
      </c>
      <c r="GO154" s="218">
        <f t="shared" si="275"/>
        <v>3540863983195.7236</v>
      </c>
      <c r="GP154" s="218">
        <f>IF(A154&gt;intermediates!$B$29,MIN(1,(A154-intermediates!$B$29)/(intermediates!$B$31-intermediates!$B$29))*intermediates!$B$77,0)</f>
        <v>0.15</v>
      </c>
      <c r="GQ154" s="218">
        <f>IF(AND(A154&gt;intermediates!$B$29+intermediates!$B$30,data!GP154&lt;intermediates!$B$77),1,0)</f>
        <v>0</v>
      </c>
      <c r="GR154" s="218">
        <f t="shared" si="243"/>
        <v>7205893461843.75</v>
      </c>
      <c r="GS154" s="218">
        <f t="shared" si="244"/>
        <v>42061673753302.219</v>
      </c>
      <c r="GT154" s="218">
        <f t="shared" si="238"/>
        <v>86708720794625</v>
      </c>
      <c r="GU154" s="218">
        <f t="shared" si="245"/>
        <v>45875324510843.75</v>
      </c>
      <c r="GV154" s="218">
        <f t="shared" si="246"/>
        <v>29507199859964.359</v>
      </c>
      <c r="GW154" s="218">
        <f t="shared" si="247"/>
        <v>5977615992322.7813</v>
      </c>
      <c r="GX154" s="218">
        <f>MIN(intermediates!$B$88,FN154*intermediates!$B$87*GO154)</f>
        <v>1770431991597.8618</v>
      </c>
      <c r="GY154" s="218">
        <f t="shared" si="248"/>
        <v>1770431991597.8618</v>
      </c>
      <c r="GZ154" s="218">
        <f>MIN(intermediates!$B$88-GX154,intermediates!$B$87*data!GW154*FN154)</f>
        <v>2809568008402.1382</v>
      </c>
      <c r="HA154" s="218">
        <f t="shared" si="276"/>
        <v>3168047983920.6431</v>
      </c>
      <c r="HB154" s="218">
        <f t="shared" si="277"/>
        <v>4580000000000</v>
      </c>
      <c r="HC154" s="218">
        <f t="shared" si="249"/>
        <v>6746196423816.8965</v>
      </c>
      <c r="HD154" s="218">
        <f>HC154*intermediates!$B$79/(10000*1000000000)</f>
        <v>447.77342055680549</v>
      </c>
      <c r="HE154" s="218">
        <f>(GV154*intermediates!$B$80+GV154*GL154*intermediates!$B$82)/(10000*1000000000)</f>
        <v>1100.1211933536356</v>
      </c>
      <c r="HF154" s="218">
        <f>GU154*intermediates!$B$78/(10000*1000000000)</f>
        <v>4619.6154707550731</v>
      </c>
      <c r="HG154" s="218">
        <f>HB154*intermediates!$B$81/(10000*1000000000)</f>
        <v>1151.2448721556611</v>
      </c>
      <c r="HH154" s="218">
        <f t="shared" si="250"/>
        <v>0</v>
      </c>
      <c r="HI154" s="218">
        <f t="shared" si="251"/>
        <v>0</v>
      </c>
      <c r="HJ154" s="218">
        <f t="shared" si="252"/>
        <v>2.6878540431191595</v>
      </c>
      <c r="HK154" s="218">
        <f ca="1">SUM(HJ154:INDIRECT(ADDRESS(MAX(CELL("row",HJ154)-intermediates!$B$83,69),CELL("col",HJ154))))/intermediates!$B$83+SUM(HH154:INDIRECT(ADDRESS(MAX(CELL("row",HH154)-intermediates!$B$84,69),CELL("col",HH154))))/intermediates!$B$84+SUM(HI154:INDIRECT(ADDRESS(MAX(CELL("row",HI154)-intermediates!$B$85,69),CELL("col",HI154))))/intermediates!$B$85</f>
        <v>20.860223939527813</v>
      </c>
      <c r="HL154" s="218">
        <f t="shared" ca="1" si="278"/>
        <v>-122.98754490124686</v>
      </c>
      <c r="HM154" s="188">
        <f t="shared" si="253"/>
        <v>2098</v>
      </c>
      <c r="HQ154" s="185">
        <f t="shared" si="254"/>
        <v>811.72337396021067</v>
      </c>
      <c r="HR154" s="185">
        <f t="shared" si="255"/>
        <v>527.14452823605393</v>
      </c>
      <c r="HS154" s="185">
        <f t="shared" si="256"/>
        <v>375.75881631789878</v>
      </c>
      <c r="HT154" s="185">
        <f t="shared" si="257"/>
        <v>319.77080172390123</v>
      </c>
      <c r="HU154" s="185">
        <f t="shared" si="258"/>
        <v>307.03457283140028</v>
      </c>
      <c r="HV154" s="185">
        <f t="shared" si="259"/>
        <v>282.47180700488826</v>
      </c>
      <c r="HW154" s="185">
        <f t="shared" si="260"/>
        <v>574.84889476456408</v>
      </c>
      <c r="HX154" s="185">
        <f t="shared" si="261"/>
        <v>12.499631971270492</v>
      </c>
      <c r="HY154" s="185">
        <f t="shared" si="262"/>
        <v>144.21026453618506</v>
      </c>
      <c r="HZ154" s="185">
        <f t="shared" si="279"/>
        <v>3198.7527948389175</v>
      </c>
      <c r="IA154" s="185">
        <f t="shared" si="280"/>
        <v>3355.462691346373</v>
      </c>
      <c r="IB154" s="185">
        <f t="shared" si="263"/>
        <v>2613.2301845738384</v>
      </c>
      <c r="IC154" s="185">
        <f t="shared" si="311"/>
        <v>3832.325965097094</v>
      </c>
      <c r="ID154" s="185">
        <f t="shared" si="264"/>
        <v>3084.8471209570844</v>
      </c>
      <c r="IE154" s="184">
        <f t="shared" si="281"/>
        <v>-0.20538235621271511</v>
      </c>
      <c r="IF154" s="184">
        <f t="shared" si="282"/>
        <v>-0.15458246553325874</v>
      </c>
    </row>
    <row r="155" spans="1:240" x14ac:dyDescent="0.3">
      <c r="A155" s="211">
        <v>2099</v>
      </c>
      <c r="E155" s="207">
        <v>7379868.6069999998</v>
      </c>
      <c r="F155" s="207">
        <v>10872284.134</v>
      </c>
      <c r="G155" s="207">
        <v>15491593.517999999</v>
      </c>
      <c r="I155" s="207">
        <f t="shared" si="284"/>
        <v>7379868607</v>
      </c>
      <c r="J155" s="207">
        <f t="shared" si="284"/>
        <v>10872284134</v>
      </c>
      <c r="K155" s="207">
        <f t="shared" si="284"/>
        <v>15491593518</v>
      </c>
      <c r="L155" s="187">
        <f>IF(intermediates!$B$4&gt;=2,(intermediates!$B$4-2)*K155+(1-(intermediates!$B$4-2))*J155,(intermediates!$B$4-1)*J155+(1-(intermediates!$B$4-1))*I155)</f>
        <v>12578007810.175991</v>
      </c>
      <c r="AJ155" s="184">
        <f>IF(intermediates!$B$46=0,$AJ$74+(intermediates!$B$15-$AJ$74)*MIN(1,(data!A155-data!$A$74)/(intermediates!$B$32-data!$A$74)),IF(A155&lt;2021,$AJ$74+(intermediates!$B$15-$AJ$74)*MIN(1,(data!A155-data!$A$74)/(intermediates!$B$32-data!$A$74)),intermediates!$B$47+(intermediates!$B$15-intermediates!$B$47)*MIN(1,(data!A155-$A$77)/(intermediates!$B$32-$A$77))))</f>
        <v>27400</v>
      </c>
      <c r="AK155" s="192">
        <f t="shared" si="285"/>
        <v>27400</v>
      </c>
      <c r="AL155" s="192">
        <f t="shared" si="321"/>
        <v>344637413998822.13</v>
      </c>
      <c r="AM155" s="192">
        <f>data!AL155/(1000000*conversions!$C$1)</f>
        <v>29540.349771327612</v>
      </c>
      <c r="AN155" s="192">
        <f>IF(intermediates!$B$13=1,($AJ$74+(27400-$AJ$74)*MIN(1,(data!A155-data!$A$74)/(intermediates!$B$32-data!$A$74)))*L155/(1000000*conversions!$C$1),data!AM155)</f>
        <v>29540.349771327612</v>
      </c>
      <c r="AV155" s="214">
        <f>IF(A155&lt;intermediates!$B$29,0,IF(A155&lt;intermediates!$B$31,(data!A155-intermediates!$B$29)*intermediates!$B$26/(intermediates!$B$31-intermediates!$B$29),intermediates!$B$26))</f>
        <v>10</v>
      </c>
      <c r="AW155" s="212">
        <f>MIN(AW154+intermediates!$B$16,intermediates!$B$17*data!$AW$74)</f>
        <v>1897.5897864678325</v>
      </c>
      <c r="AX155" s="212">
        <f>AV155*1000/conversions!$C$16/intermediates!$B$40</f>
        <v>8187.0584968062822</v>
      </c>
      <c r="AY155" s="212">
        <f>AX155*(1-intermediates!$B$39)*intermediates!$B$28/(conversions!$C$2)</f>
        <v>2143.0300372958864</v>
      </c>
      <c r="AZ155" s="213">
        <f>IF(A155&lt;intermediates!$B$29,0,MIN(intermediates!$B$25,intermediates!$B$25*(A155-intermediates!$B$29)/(intermediates!$B$31-intermediates!$B$29)))</f>
        <v>0</v>
      </c>
      <c r="BA155" s="212">
        <f>IF(A155&lt;intermediates!$B$29,data!$BA$74,IF(intermediates!$B$23&gt;data!$BA$74,MIN(intermediates!$B$23,data!$BA$74+(intermediates!$B$23-data!$BA$74)*((data!A155-intermediates!$B$29)/(intermediates!$B$31-intermediates!$B$29))),MAX(intermediates!$B$23,data!$BA$74+(intermediates!$B$23-data!$BA$74)*((data!A155-intermediates!$B$29)/(intermediates!$B$31-intermediates!$B$29)))))</f>
        <v>0.08</v>
      </c>
      <c r="BB155" s="212">
        <f t="shared" si="286"/>
        <v>2363.227981706209</v>
      </c>
      <c r="BC155" s="212">
        <f t="shared" si="303"/>
        <v>2363.227981706209</v>
      </c>
      <c r="BD155" s="212">
        <f t="shared" si="304"/>
        <v>0</v>
      </c>
      <c r="BE155" s="214">
        <f>MAX(0,MIN(1,(data!A155-intermediates!$B$29)/(intermediates!$B$31-intermediates!$B$29)))*((intermediates!$B$38*L155)-$BE$69*1000000000)/1000000000+$BE$69</f>
        <v>1572.2509762719988</v>
      </c>
      <c r="BF155" s="214">
        <f t="shared" si="237"/>
        <v>1572.2509762719988</v>
      </c>
      <c r="BG155" s="214">
        <f t="shared" si="305"/>
        <v>0</v>
      </c>
      <c r="BH155" s="214">
        <f>BD155*conversions!$C$2/conversions!$C$17+BG155*conversions!$C$6/conversions!$C$10</f>
        <v>0</v>
      </c>
      <c r="BI155" s="214">
        <f>BH155*intermediates!$B$41*conversions!$C$11/(conversions!$C$2*conversions!$C$6*intermediates!$B$42)</f>
        <v>0</v>
      </c>
      <c r="BJ155" s="214">
        <f>BH155*intermediates!$B$43/(conversions!$C$1*intermediates!$B$42)</f>
        <v>0</v>
      </c>
      <c r="BK155" s="214">
        <f t="shared" si="287"/>
        <v>0</v>
      </c>
      <c r="BL155" s="214">
        <f t="shared" si="288"/>
        <v>29540.349771327612</v>
      </c>
      <c r="BM155" s="214">
        <f t="shared" si="289"/>
        <v>23136.501965857686</v>
      </c>
      <c r="BN155" s="214">
        <f>IF(A155&lt;intermediates!$B$29,MIN(BO154+intermediates!$B$33*AN154),MIN(BO154*intermediates!$B$35,BO154+intermediates!$B$37*AN154))</f>
        <v>23926.984331430616</v>
      </c>
      <c r="BO155" s="212">
        <f>IF(A155&lt;intermediates!$B$29,MIN(BM155,BO154+intermediates!$B$33*AN154),MIN(BM155,BO154*intermediates!$B$35,BO154+intermediates!$B$37*AN154))</f>
        <v>23136.501965857686</v>
      </c>
      <c r="BP155" s="214">
        <f t="shared" si="290"/>
        <v>790.48236557293058</v>
      </c>
      <c r="BQ155" s="214">
        <f t="shared" si="291"/>
        <v>0</v>
      </c>
      <c r="BR155" s="212" t="str">
        <f t="shared" si="322"/>
        <v/>
      </c>
      <c r="BS155" s="212">
        <f>BP155*conversions!$C$1*intermediates!$B$42/intermediates!$B$43</f>
        <v>1764.2590087835579</v>
      </c>
      <c r="BT155" s="214">
        <f>MIN(BT154+BS155,intermediates!$B$27*1000)</f>
        <v>0</v>
      </c>
      <c r="BU155" s="219" t="str">
        <f>IF(AND(BT155=intermediates!$B$27*1000,BT154&lt;&gt;intermediates!$B$27*1000),A155,"")</f>
        <v/>
      </c>
      <c r="BV155" s="212">
        <f>BT155*intermediates!$B$43/(conversions!$C$1*intermediates!$B$42)</f>
        <v>0</v>
      </c>
      <c r="BW155" s="214">
        <f t="shared" si="292"/>
        <v>29540.349771327612</v>
      </c>
      <c r="BX155" s="214">
        <f t="shared" si="293"/>
        <v>23136.501965857686</v>
      </c>
      <c r="BY155" s="227">
        <f>IF(OR(BQ155&gt;0,BT155&lt;&gt;intermediates!$B$27*1000),MAX(0,(BX155-BX154)/AM154),0.000000000001)</f>
        <v>9.9999999999999998E-13</v>
      </c>
      <c r="BZ155" s="322">
        <f>BH155*intermediates!$B$49*1000000</f>
        <v>0</v>
      </c>
      <c r="CA155" s="322">
        <f>BI155*conversions!$C$1*1000000*intermediates!$B$50</f>
        <v>0</v>
      </c>
      <c r="CB155" s="322">
        <f>BT155*1000000*intermediates!$B$49</f>
        <v>0</v>
      </c>
      <c r="CC155" s="214">
        <f>BW155*conversions!$C$1*1000000/L155</f>
        <v>27399.999999999993</v>
      </c>
      <c r="CD155" s="173">
        <f t="shared" si="239"/>
        <v>2099</v>
      </c>
      <c r="CE155" s="173"/>
      <c r="CF155" s="173"/>
      <c r="CG155" s="173"/>
      <c r="CH155" s="173"/>
      <c r="CI155" s="173">
        <f t="shared" si="294"/>
        <v>0</v>
      </c>
      <c r="CJ155" s="173">
        <f t="shared" si="295"/>
        <v>1897.5897864678325</v>
      </c>
      <c r="CK155" s="173">
        <f t="shared" si="296"/>
        <v>2363.227981706209</v>
      </c>
      <c r="CL155" s="173">
        <f t="shared" si="297"/>
        <v>2143.0300372958864</v>
      </c>
      <c r="CM155" s="173"/>
      <c r="CN155" s="173"/>
      <c r="CO155" s="329">
        <f t="shared" si="306"/>
        <v>23136.501965857686</v>
      </c>
      <c r="CP155" s="174">
        <f t="shared" si="298"/>
        <v>0</v>
      </c>
      <c r="CQ155" s="228">
        <f t="shared" si="299"/>
        <v>10</v>
      </c>
      <c r="CR155" s="228">
        <f t="shared" si="307"/>
        <v>635</v>
      </c>
      <c r="CS155" s="214">
        <f t="shared" ca="1" si="300"/>
        <v>-31.032082268370242</v>
      </c>
      <c r="CT155" s="190">
        <f t="shared" ca="1" si="301"/>
        <v>-2.4671698997725495</v>
      </c>
      <c r="CU155" s="190">
        <f t="shared" ca="1" si="323"/>
        <v>-31.032082268370242</v>
      </c>
      <c r="CV155" s="198">
        <f t="shared" si="308"/>
        <v>3203.9310777670239</v>
      </c>
      <c r="CW155" s="198">
        <f t="shared" ca="1" si="309"/>
        <v>3796.8898451957907</v>
      </c>
      <c r="CX155" s="198">
        <f t="shared" ca="1" si="302"/>
        <v>2670.8865403999039</v>
      </c>
      <c r="CY155" s="198">
        <f t="shared" ca="1" si="310"/>
        <v>-1126.003304795888</v>
      </c>
      <c r="CZ155" s="199">
        <f ca="1">IF(CX155&lt;intermediates!$B$55,intermediates!$B$56+(CX155-intermediates!$B$55)*intermediates!$B$53,intermediates!$B$56+(data!CX155-intermediates!$B$55)*intermediates!$B$58)</f>
        <v>1.421519049356168</v>
      </c>
      <c r="DG155" s="201">
        <f>IF(A155&gt;MAX(intermediates!B$31,intermediates!$B$32),DG154,DG154+intermediates!$B$60*DG$73)</f>
        <v>19505207416250</v>
      </c>
      <c r="DH155" s="201">
        <f>IF(A155&gt;MAX(intermediates!B$31,intermediates!$B$32),DH154,DH154+intermediates!$B$61*DH$73)</f>
        <v>28534082329375</v>
      </c>
      <c r="DI155" s="201">
        <f>IF(A155&gt;MAX(intermediates!B$31,intermediates!$B$32),DI154,DI154+intermediates!$B$62*DI$73)</f>
        <v>38669431049000</v>
      </c>
      <c r="DJ155" s="221"/>
      <c r="EE155" s="218"/>
      <c r="EF155" s="212">
        <f>$EF$69+intermediates!$B$90*(A155-2013)*intermediates!$B$92+intermediates!$B$91*intermediates!$B$92*(A155-2013)^2</f>
        <v>3173.3002285492184</v>
      </c>
      <c r="EH155" s="212">
        <f>IF(A155&lt;intermediates!$B$29,data!EH154,IF(A155&lt;intermediates!$B$31,data!$EH$69+(intermediates!$B$93-data!$EH$69)*(data!A155-intermediates!$B$29)/(intermediates!$B$31-intermediates!$B$29),intermediates!$B$93))</f>
        <v>2.522212345090466E-2</v>
      </c>
      <c r="EI155" s="212">
        <f t="shared" si="265"/>
        <v>2.522212345090466E-2</v>
      </c>
      <c r="EN155" s="218"/>
      <c r="EO155" s="212">
        <f t="shared" si="266"/>
        <v>3093.2628584379659</v>
      </c>
      <c r="EQ155" s="212">
        <f t="shared" si="267"/>
        <v>80.037370111252585</v>
      </c>
      <c r="ET155" s="214">
        <f>IF(A155&lt;intermediates!$B$29,ET154+intermediates!$B$63,ET154+intermediates!$B$63*intermediates!$B$67)</f>
        <v>1643.6522503983099</v>
      </c>
      <c r="EU155" s="215">
        <f t="shared" si="268"/>
        <v>1643.6522503983099</v>
      </c>
      <c r="EV155" s="216">
        <f>data!EU155*conversions!$C$13</f>
        <v>1.9115675672132344</v>
      </c>
      <c r="EX155" s="212">
        <f>intermediates!$B$64+intermediates!$B$64*(EXP(-(data!A155-intermediates!$B$66)/intermediates!$B$65)-1)</f>
        <v>4.3737609860653413E-3</v>
      </c>
      <c r="EY155" s="217">
        <f>IF(A155&lt;intermediates!$B$29,data!EX155,data!EY154+(data!EX155-data!EX154)*intermediates!$B$68)</f>
        <v>4.3737609860653413E-3</v>
      </c>
      <c r="EZ155" s="217">
        <f t="shared" si="269"/>
        <v>4.3737609860653413E-3</v>
      </c>
      <c r="FB155" s="212">
        <f>intermediates!$B$94+intermediates!$B$95+(intermediates!$B$95*(EXP(-(data!A155-intermediates!$B$97)/intermediates!$B$96)-1))</f>
        <v>1.5326640466237669</v>
      </c>
      <c r="FC155" s="217">
        <f>IF(A155&lt;intermediates!$B$29,data!FB155,data!FC154+(data!FB155-data!FB154)*intermediates!$B$68)</f>
        <v>1.5326640466237669</v>
      </c>
      <c r="FD155" s="212">
        <f t="shared" si="270"/>
        <v>1.5326640466237669</v>
      </c>
      <c r="FF155" s="184">
        <f>intermediates!$B$98+intermediates!$B$99*EXP(-(A155-intermediates!$B$101)/intermediates!$B$100)</f>
        <v>0.90268162624636628</v>
      </c>
      <c r="FG155" s="184">
        <f t="shared" si="240"/>
        <v>0.90268162624636628</v>
      </c>
      <c r="FI155" s="184">
        <f>intermediates!$B$102+intermediates!$B$103*EXP(-(A155-intermediates!$B$105)/intermediates!$B$104)</f>
        <v>1.3961648510561182E-2</v>
      </c>
      <c r="FJ155" s="184">
        <f t="shared" si="271"/>
        <v>1.3961648510561182E-2</v>
      </c>
      <c r="FL155" s="184">
        <f>intermediates!$B$106</f>
        <v>4.5616870531049965E-2</v>
      </c>
      <c r="FM155" s="184">
        <f t="shared" si="272"/>
        <v>4.5616870531049965E-2</v>
      </c>
      <c r="FN155" s="218">
        <f>IF(A155&lt;intermediates!$B$29,0,IF(A155&lt;intermediates!$B$31,(data!A155-intermediates!$B$29)/(intermediates!$B$31-intermediates!$B$29),1))</f>
        <v>1</v>
      </c>
      <c r="FO155" s="218">
        <f t="shared" si="312"/>
        <v>367449393223327.75</v>
      </c>
      <c r="FP155" s="218">
        <f t="shared" si="313"/>
        <v>407064221248523.38</v>
      </c>
      <c r="FQ155" s="218">
        <f t="shared" si="314"/>
        <v>1780401609719.8618</v>
      </c>
      <c r="FR155" s="218">
        <f t="shared" si="315"/>
        <v>623892696574514.13</v>
      </c>
      <c r="FS155" s="218">
        <f t="shared" si="316"/>
        <v>379577064688.30304</v>
      </c>
      <c r="FT155" s="218">
        <f>intermediates!$B$69*data!EU155/intermediates!$B$71</f>
        <v>4.1836436053115476</v>
      </c>
      <c r="FU155" s="218">
        <f>BC155*conversions!$C$1*1000000</f>
        <v>27570993119905.77</v>
      </c>
      <c r="FV155" s="218">
        <f t="shared" si="320"/>
        <v>6590186861256.9385</v>
      </c>
      <c r="FX155" s="221"/>
      <c r="FY155" s="221"/>
      <c r="FZ155" s="221"/>
      <c r="GA155" s="218">
        <f t="shared" si="241"/>
        <v>1572.2509762719988</v>
      </c>
      <c r="GB155" s="218">
        <f>GA155*1000000*10000*intermediates!$B$71/(intermediates!$B$72*data!EU155)</f>
        <v>4697612669121.335</v>
      </c>
      <c r="GC155" s="218">
        <f t="shared" si="317"/>
        <v>8639957630800.5771</v>
      </c>
      <c r="GD155" s="218">
        <f t="shared" si="283"/>
        <v>20307334225867.156</v>
      </c>
      <c r="GE155" s="218">
        <f t="shared" si="318"/>
        <v>21593864705399.793</v>
      </c>
      <c r="GF155" s="218">
        <f t="shared" si="319"/>
        <v>301485949001.40472</v>
      </c>
      <c r="GG155" s="218">
        <f t="shared" si="273"/>
        <v>985044530531.23169</v>
      </c>
      <c r="GH155" s="218">
        <f t="shared" si="242"/>
        <v>8863514282235.9883</v>
      </c>
      <c r="GI155" s="218">
        <f t="shared" si="274"/>
        <v>156020413252.89258</v>
      </c>
      <c r="GJ155" s="218">
        <f>ET155*intermediates!$B$73/intermediates!$B$71</f>
        <v>6.2754654079673218</v>
      </c>
      <c r="GK155" s="218">
        <f>CL155*conversions!$C$1*1000000/data!GJ155</f>
        <v>3984089701146.7573</v>
      </c>
      <c r="GL155" s="218">
        <f>MIN(1,FN155)*(intermediates!$B$75-data!$GL$69)+data!$GL$69</f>
        <v>1</v>
      </c>
      <c r="GM155" s="218">
        <f>GL155*intermediates!$B$74*(FS155+GC155+GK155+GG155+GF155+GB155+FV155)</f>
        <v>3836693160981.9819</v>
      </c>
      <c r="GN155" s="218">
        <f>MIN(1,FN155)*intermediates!$B$76</f>
        <v>0.12</v>
      </c>
      <c r="GO155" s="218">
        <f t="shared" si="275"/>
        <v>3529757708103.4238</v>
      </c>
      <c r="GP155" s="218">
        <f>IF(A155&gt;intermediates!$B$29,MIN(1,(A155-intermediates!$B$29)/(intermediates!$B$31-intermediates!$B$29))*intermediates!$B$77,0)</f>
        <v>0.15</v>
      </c>
      <c r="GQ155" s="218">
        <f>IF(AND(A155&gt;intermediates!$B$29+intermediates!$B$30,data!GP155&lt;intermediates!$B$77),1,0)</f>
        <v>0</v>
      </c>
      <c r="GR155" s="218">
        <f t="shared" si="243"/>
        <v>7205893461843.75</v>
      </c>
      <c r="GS155" s="218">
        <f t="shared" si="244"/>
        <v>41930700347195.563</v>
      </c>
      <c r="GT155" s="218">
        <f t="shared" si="238"/>
        <v>86708720794625</v>
      </c>
      <c r="GU155" s="218">
        <f t="shared" si="245"/>
        <v>45875324510843.75</v>
      </c>
      <c r="GV155" s="218">
        <f t="shared" si="246"/>
        <v>29414647567528.527</v>
      </c>
      <c r="GW155" s="218">
        <f t="shared" si="247"/>
        <v>6108589398429.4375</v>
      </c>
      <c r="GX155" s="218">
        <f>MIN(intermediates!$B$88,FN155*intermediates!$B$87*GO155)</f>
        <v>1764878854051.7119</v>
      </c>
      <c r="GY155" s="218">
        <f t="shared" si="248"/>
        <v>1764878854051.7119</v>
      </c>
      <c r="GZ155" s="218">
        <f>MIN(intermediates!$B$88-GX155,intermediates!$B$87*data!GW155*FN155)</f>
        <v>2815121145948.2881</v>
      </c>
      <c r="HA155" s="218">
        <f t="shared" si="276"/>
        <v>3293468252481.1494</v>
      </c>
      <c r="HB155" s="218">
        <f t="shared" si="277"/>
        <v>4580000000000</v>
      </c>
      <c r="HC155" s="218">
        <f t="shared" si="249"/>
        <v>6838748716252.7227</v>
      </c>
      <c r="HD155" s="218">
        <f>HC155*intermediates!$B$79/(10000*1000000000)</f>
        <v>453.91650533537108</v>
      </c>
      <c r="HE155" s="218">
        <f>(GV155*intermediates!$B$80+GV155*GL155*intermediates!$B$82)/(10000*1000000000)</f>
        <v>1096.670552869776</v>
      </c>
      <c r="HF155" s="218">
        <f>GU155*intermediates!$B$78/(10000*1000000000)</f>
        <v>4619.6154707550731</v>
      </c>
      <c r="HG155" s="218">
        <f>HB155*intermediates!$B$81/(10000*1000000000)</f>
        <v>1151.2448721556611</v>
      </c>
      <c r="HH155" s="218">
        <f t="shared" si="250"/>
        <v>0</v>
      </c>
      <c r="HI155" s="218">
        <f t="shared" si="251"/>
        <v>0</v>
      </c>
      <c r="HJ155" s="218">
        <f t="shared" si="252"/>
        <v>2.6924442947059788</v>
      </c>
      <c r="HK155" s="218">
        <f ca="1">SUM(HJ155:INDIRECT(ADDRESS(MAX(CELL("row",HJ155)-intermediates!$B$83,69),CELL("col",HJ155))))/intermediates!$B$83+SUM(HH155:INDIRECT(ADDRESS(MAX(CELL("row",HH155)-intermediates!$B$84,69),CELL("col",HH155))))/intermediates!$B$84+SUM(HI155:INDIRECT(ADDRESS(MAX(CELL("row",HI155)-intermediates!$B$85,69),CELL("col",HI155))))/intermediates!$B$85</f>
        <v>21.032082268370242</v>
      </c>
      <c r="HL155" s="218">
        <f t="shared" ca="1" si="278"/>
        <v>-101.95546263287662</v>
      </c>
      <c r="HM155" s="188">
        <f t="shared" si="253"/>
        <v>2099</v>
      </c>
      <c r="HQ155" s="185">
        <f t="shared" si="254"/>
        <v>806.9675989195149</v>
      </c>
      <c r="HR155" s="185">
        <f t="shared" si="255"/>
        <v>523.94520346260856</v>
      </c>
      <c r="HS155" s="185">
        <f t="shared" si="256"/>
        <v>373.47827573463769</v>
      </c>
      <c r="HT155" s="185">
        <f t="shared" si="257"/>
        <v>316.75045534027316</v>
      </c>
      <c r="HU155" s="185">
        <f t="shared" si="258"/>
        <v>305.03186346235054</v>
      </c>
      <c r="HV155" s="185">
        <f t="shared" si="259"/>
        <v>280.62931438536253</v>
      </c>
      <c r="HW155" s="185">
        <f t="shared" si="260"/>
        <v>572.89624641622208</v>
      </c>
      <c r="HX155" s="185">
        <f t="shared" si="261"/>
        <v>12.404222958636367</v>
      </c>
      <c r="HY155" s="185">
        <f t="shared" si="262"/>
        <v>141.54877597384402</v>
      </c>
      <c r="HZ155" s="185">
        <f t="shared" si="279"/>
        <v>3179.6989577209697</v>
      </c>
      <c r="IA155" s="185">
        <f t="shared" si="280"/>
        <v>3333.6519566534498</v>
      </c>
      <c r="IB155" s="185">
        <f t="shared" si="263"/>
        <v>2613.2301845738384</v>
      </c>
      <c r="IC155" s="185">
        <f t="shared" si="311"/>
        <v>3819.3083094414801</v>
      </c>
      <c r="ID155" s="185">
        <f t="shared" si="264"/>
        <v>3074.3685035491276</v>
      </c>
      <c r="IE155" s="184">
        <f t="shared" si="281"/>
        <v>-0.20804576646622858</v>
      </c>
      <c r="IF155" s="184">
        <f t="shared" si="282"/>
        <v>-0.15796946664896433</v>
      </c>
    </row>
    <row r="156" spans="1:240" x14ac:dyDescent="0.3">
      <c r="A156" s="211">
        <v>2100</v>
      </c>
      <c r="E156" s="207">
        <v>7322116.4809999997</v>
      </c>
      <c r="F156" s="207">
        <v>10875393.719000001</v>
      </c>
      <c r="G156" s="207">
        <v>15600368.926999999</v>
      </c>
      <c r="I156" s="207">
        <f t="shared" si="284"/>
        <v>7322116481</v>
      </c>
      <c r="J156" s="207">
        <f t="shared" si="284"/>
        <v>10875393719</v>
      </c>
      <c r="K156" s="207">
        <f t="shared" si="284"/>
        <v>15600368927</v>
      </c>
      <c r="L156" s="187">
        <f>IF(intermediates!$B$4&gt;=2,(intermediates!$B$4-2)*K156+(1-(intermediates!$B$4-2))*J156,(intermediates!$B$4-1)*J156+(1-(intermediates!$B$4-1))*I156)</f>
        <v>12620135500</v>
      </c>
      <c r="AJ156" s="184">
        <f>IF(intermediates!$B$46=0,$AJ$74+(intermediates!$B$15-$AJ$74)*MIN(1,(data!A156-data!$A$74)/(intermediates!$B$32-data!$A$74)),IF(A156&lt;2021,$AJ$74+(intermediates!$B$15-$AJ$74)*MIN(1,(data!A156-data!$A$74)/(intermediates!$B$32-data!$A$74)),intermediates!$B$47+(intermediates!$B$15-intermediates!$B$47)*MIN(1,(data!A156-$A$77)/(intermediates!$B$32-$A$77))))</f>
        <v>27400</v>
      </c>
      <c r="AK156" s="192">
        <f t="shared" si="285"/>
        <v>27400</v>
      </c>
      <c r="AL156" s="192">
        <f t="shared" si="321"/>
        <v>345791712700000</v>
      </c>
      <c r="AM156" s="192">
        <f>data!AL156/(1000000*conversions!$C$1)</f>
        <v>29639.289660000002</v>
      </c>
      <c r="AN156" s="192">
        <f>IF(intermediates!$B$13=1,($AJ$74+(27400-$AJ$74)*MIN(1,(data!A156-data!$A$74)/(intermediates!$B$32-data!$A$74)))*L156/(1000000*conversions!$C$1),data!AM156)</f>
        <v>29639.289660000002</v>
      </c>
      <c r="AV156" s="214">
        <f>IF(A156&lt;intermediates!$B$29,0,IF(A156&lt;intermediates!$B$31,(data!A156-intermediates!$B$29)*intermediates!$B$26/(intermediates!$B$31-intermediates!$B$29),intermediates!$B$26))</f>
        <v>10</v>
      </c>
      <c r="AW156" s="212">
        <f>MIN(AW155+intermediates!$B$16,intermediates!$B$17*data!$AW$74)</f>
        <v>1897.5897864678325</v>
      </c>
      <c r="AX156" s="212">
        <f>AV156*1000/conversions!$C$16/intermediates!$B$40</f>
        <v>8187.0584968062822</v>
      </c>
      <c r="AY156" s="212">
        <f>AX156*(1-intermediates!$B$39)*intermediates!$B$28/(conversions!$C$2)</f>
        <v>2143.0300372958864</v>
      </c>
      <c r="AZ156" s="213">
        <f>IF(A156&lt;intermediates!$B$29,0,MIN(intermediates!$B$25,intermediates!$B$25*(A156-intermediates!$B$29)/(intermediates!$B$31-intermediates!$B$29)))</f>
        <v>0</v>
      </c>
      <c r="BA156" s="212">
        <f>IF(A156&lt;intermediates!$B$29,data!$BA$74,IF(intermediates!$B$23&gt;data!$BA$74,MIN(intermediates!$B$23,data!$BA$74+(intermediates!$B$23-data!$BA$74)*((data!A156-intermediates!$B$29)/(intermediates!$B$31-intermediates!$B$29))),MAX(intermediates!$B$23,data!$BA$74+(intermediates!$B$23-data!$BA$74)*((data!A156-intermediates!$B$29)/(intermediates!$B$31-intermediates!$B$29)))))</f>
        <v>0.08</v>
      </c>
      <c r="BB156" s="212">
        <f t="shared" si="286"/>
        <v>2371.1431728000002</v>
      </c>
      <c r="BC156" s="212">
        <f t="shared" si="303"/>
        <v>2371.1431728000002</v>
      </c>
      <c r="BD156" s="212">
        <f t="shared" si="304"/>
        <v>0</v>
      </c>
      <c r="BE156" s="214">
        <f>MAX(0,MIN(1,(data!A156-intermediates!$B$29)/(intermediates!$B$31-intermediates!$B$29)))*((intermediates!$B$38*L156)-$BE$69*1000000000)/1000000000+$BE$69</f>
        <v>1577.5169375</v>
      </c>
      <c r="BF156" s="214">
        <f t="shared" si="237"/>
        <v>1577.5169375</v>
      </c>
      <c r="BG156" s="214">
        <f t="shared" si="305"/>
        <v>0</v>
      </c>
      <c r="BH156" s="214">
        <f>BD156*conversions!$C$2/conversions!$C$17+BG156*conversions!$C$6/conversions!$C$10</f>
        <v>0</v>
      </c>
      <c r="BI156" s="214">
        <f>BH156*intermediates!$B$41*conversions!$C$11/(conversions!$C$2*conversions!$C$6*intermediates!$B$42)</f>
        <v>0</v>
      </c>
      <c r="BJ156" s="214">
        <f>BH156*intermediates!$B$43/(conversions!$C$1*intermediates!$B$42)</f>
        <v>0</v>
      </c>
      <c r="BK156" s="214">
        <f t="shared" si="287"/>
        <v>0</v>
      </c>
      <c r="BL156" s="214">
        <f t="shared" si="288"/>
        <v>29639.289660000002</v>
      </c>
      <c r="BM156" s="214">
        <f t="shared" si="289"/>
        <v>23227.526663436285</v>
      </c>
      <c r="BN156" s="214">
        <f>IF(A156&lt;intermediates!$B$29,MIN(BO155+intermediates!$B$33*AN155),MIN(BO155*intermediates!$B$35,BO155+intermediates!$B$37*AN155))</f>
        <v>24022.30856579652</v>
      </c>
      <c r="BO156" s="212">
        <f>IF(A156&lt;intermediates!$B$29,MIN(BM156,BO155+intermediates!$B$33*AN155),MIN(BM156,BO155*intermediates!$B$35,BO155+intermediates!$B$37*AN155))</f>
        <v>23227.526663436285</v>
      </c>
      <c r="BP156" s="214">
        <f t="shared" si="290"/>
        <v>794.78190236023511</v>
      </c>
      <c r="BQ156" s="214">
        <f t="shared" si="291"/>
        <v>0</v>
      </c>
      <c r="BR156" s="212" t="str">
        <f t="shared" si="322"/>
        <v/>
      </c>
      <c r="BS156" s="212">
        <f>BP156*conversions!$C$1*intermediates!$B$42/intermediates!$B$43</f>
        <v>1773.8550438641134</v>
      </c>
      <c r="BT156" s="214">
        <f>MIN(BT155+BS156,intermediates!$B$27*1000)</f>
        <v>0</v>
      </c>
      <c r="BU156" s="219" t="str">
        <f>IF(AND(BT156=intermediates!$B$27*1000,BT155&lt;&gt;intermediates!$B$27*1000),A156,"")</f>
        <v/>
      </c>
      <c r="BV156" s="212">
        <f>BT156*intermediates!$B$43/(conversions!$C$1*intermediates!$B$42)</f>
        <v>0</v>
      </c>
      <c r="BW156" s="214">
        <f t="shared" si="292"/>
        <v>29639.289660000002</v>
      </c>
      <c r="BX156" s="214">
        <f t="shared" si="293"/>
        <v>23227.526663436285</v>
      </c>
      <c r="BY156" s="227">
        <f>IF(OR(BQ156&gt;0,BT156&lt;&gt;intermediates!$B$27*1000),MAX(0,(BX156-BX155)/AM155),0.000000000001)</f>
        <v>9.9999999999999998E-13</v>
      </c>
      <c r="BZ156" s="322">
        <f>BH156*intermediates!$B$49*1000000</f>
        <v>0</v>
      </c>
      <c r="CA156" s="322">
        <f>BI156*conversions!$C$1*1000000*intermediates!$B$50</f>
        <v>0</v>
      </c>
      <c r="CB156" s="322">
        <f>BT156*1000000*intermediates!$B$49</f>
        <v>0</v>
      </c>
      <c r="CC156" s="214">
        <f>BW156*conversions!$C$1*1000000/L156</f>
        <v>27400</v>
      </c>
      <c r="CD156" s="173">
        <f t="shared" si="239"/>
        <v>2100</v>
      </c>
      <c r="CE156" s="173"/>
      <c r="CF156" s="173"/>
      <c r="CG156" s="173"/>
      <c r="CH156" s="173"/>
      <c r="CI156" s="173">
        <f t="shared" si="294"/>
        <v>0</v>
      </c>
      <c r="CJ156" s="173">
        <f t="shared" si="295"/>
        <v>1897.5897864678325</v>
      </c>
      <c r="CK156" s="173">
        <f t="shared" si="296"/>
        <v>2371.1431728000002</v>
      </c>
      <c r="CL156" s="173">
        <f t="shared" si="297"/>
        <v>2143.0300372958864</v>
      </c>
      <c r="CM156" s="173"/>
      <c r="CN156" s="173"/>
      <c r="CO156" s="329">
        <f>BX156</f>
        <v>23227.526663436285</v>
      </c>
      <c r="CP156" s="174">
        <f t="shared" si="298"/>
        <v>0</v>
      </c>
      <c r="CQ156" s="228">
        <f t="shared" si="299"/>
        <v>10</v>
      </c>
      <c r="CR156" s="228">
        <f>CR155+CQ156</f>
        <v>645</v>
      </c>
      <c r="CS156" s="214">
        <f ca="1">CP156-(CQ156+HK156)</f>
        <v>-31.203868547309874</v>
      </c>
      <c r="CT156" s="190">
        <f t="shared" ca="1" si="301"/>
        <v>-2.4725462375035416</v>
      </c>
      <c r="CU156" s="190">
        <f t="shared" ca="1" si="323"/>
        <v>-31.203868547309874</v>
      </c>
      <c r="CV156" s="198">
        <f>CV155+CP156</f>
        <v>3203.9310777670239</v>
      </c>
      <c r="CW156" s="198">
        <f t="shared" ca="1" si="309"/>
        <v>3796.8898451957907</v>
      </c>
      <c r="CX156" s="198">
        <f t="shared" ca="1" si="302"/>
        <v>2639.682671852594</v>
      </c>
      <c r="CY156" s="198">
        <f t="shared" ca="1" si="310"/>
        <v>-1157.2071733431978</v>
      </c>
      <c r="CZ156" s="199">
        <f ca="1">IF(CX156&lt;intermediates!$B$55,intermediates!$B$56+(CX156-intermediates!$B$55)*intermediates!$B$53,intermediates!$B$56+(data!CX156-intermediates!$B$55)*intermediates!$B$58)</f>
        <v>1.4045503950728671</v>
      </c>
      <c r="DG156" s="201">
        <f>IF(A156&gt;MAX(intermediates!B$31,intermediates!$B$32),DG155,DG155+intermediates!$B$60*DG$73)</f>
        <v>19505207416250</v>
      </c>
      <c r="DH156" s="201">
        <f>IF(A156&gt;MAX(intermediates!B$31,intermediates!$B$32),DH155,DH155+intermediates!$B$61*DH$73)</f>
        <v>28534082329375</v>
      </c>
      <c r="DI156" s="201">
        <f>IF(A156&gt;MAX(intermediates!B$31,intermediates!$B$32),DI155,DI155+intermediates!$B$62*DI$73)</f>
        <v>38669431049000</v>
      </c>
      <c r="DJ156" s="221"/>
      <c r="EE156" s="218"/>
      <c r="EF156" s="212">
        <f>$EF$69+intermediates!$B$90*(A156-2013)*intermediates!$B$92+intermediates!$B$91*intermediates!$B$92*(A156-2013)^2</f>
        <v>3174.2303185492187</v>
      </c>
      <c r="EH156" s="212">
        <f>IF(A156&lt;intermediates!$B$29,data!EH155,IF(A156&lt;intermediates!$B$31,data!$EH$69+(intermediates!$B$93-data!$EH$69)*(data!A156-intermediates!$B$29)/(intermediates!$B$31-intermediates!$B$29),intermediates!$B$93))</f>
        <v>2.522212345090466E-2</v>
      </c>
      <c r="EI156" s="212">
        <f t="shared" si="265"/>
        <v>2.522212345090466E-2</v>
      </c>
      <c r="EN156" s="218"/>
      <c r="EO156" s="212">
        <f t="shared" si="266"/>
        <v>3094.169489593166</v>
      </c>
      <c r="EQ156" s="212">
        <f t="shared" si="267"/>
        <v>80.060828956052774</v>
      </c>
      <c r="ET156" s="214">
        <f>IF(A156&lt;intermediates!$B$29,ET155+intermediates!$B$63,ET155+intermediates!$B$63*intermediates!$B$67)</f>
        <v>1653.6278397897527</v>
      </c>
      <c r="EU156" s="215">
        <f t="shared" si="268"/>
        <v>1653.6278397897527</v>
      </c>
      <c r="EV156" s="216">
        <f>data!EU156*conversions!$C$13</f>
        <v>1.9231691776754822</v>
      </c>
      <c r="EX156" s="212">
        <f>intermediates!$B$64+intermediates!$B$64*(EXP(-(data!A156-intermediates!$B$66)/intermediates!$B$65)-1)</f>
        <v>4.2924506415042175E-3</v>
      </c>
      <c r="EY156" s="217">
        <f>IF(A156&lt;intermediates!$B$29,data!EX156,data!EY155+(data!EX156-data!EX155)*intermediates!$B$68)</f>
        <v>4.2924506415042175E-3</v>
      </c>
      <c r="EZ156" s="217">
        <f t="shared" si="269"/>
        <v>4.2924506415042175E-3</v>
      </c>
      <c r="FB156" s="212">
        <f>intermediates!$B$94+intermediates!$B$95+(intermediates!$B$95*(EXP(-(data!A156-intermediates!$B$97)/intermediates!$B$96)-1))</f>
        <v>1.5317732830958266</v>
      </c>
      <c r="FC156" s="217">
        <f>IF(A156&lt;intermediates!$B$29,data!FB156,data!FC155+(data!FB156-data!FB155)*intermediates!$B$68)</f>
        <v>1.5317732830958266</v>
      </c>
      <c r="FD156" s="212">
        <f t="shared" si="270"/>
        <v>1.5317732830958266</v>
      </c>
      <c r="FF156" s="184">
        <f>intermediates!$B$98+intermediates!$B$99*EXP(-(A156-intermediates!$B$101)/intermediates!$B$100)</f>
        <v>0.90284175775596065</v>
      </c>
      <c r="FG156" s="184">
        <f t="shared" si="240"/>
        <v>0.90284175775596065</v>
      </c>
      <c r="FI156" s="184">
        <f>intermediates!$B$102+intermediates!$B$103*EXP(-(A156-intermediates!$B$105)/intermediates!$B$104)</f>
        <v>1.3925956753421172E-2</v>
      </c>
      <c r="FJ156" s="184">
        <f t="shared" si="271"/>
        <v>1.3925956753421172E-2</v>
      </c>
      <c r="FL156" s="184">
        <f>intermediates!$B$106</f>
        <v>4.5616870531049965E-2</v>
      </c>
      <c r="FM156" s="184">
        <f t="shared" si="272"/>
        <v>4.5616870531049965E-2</v>
      </c>
      <c r="FN156" s="218">
        <f>IF(A156&lt;intermediates!$B$29,0,IF(A156&lt;intermediates!$B$31,(data!A156-intermediates!$B$29)/(intermediates!$B$31-intermediates!$B$29),1))</f>
        <v>1</v>
      </c>
      <c r="FO156" s="218">
        <f t="shared" si="312"/>
        <v>368788156028714</v>
      </c>
      <c r="FP156" s="218">
        <f t="shared" si="313"/>
        <v>408474854935097</v>
      </c>
      <c r="FQ156" s="218">
        <f t="shared" si="314"/>
        <v>1753358153104.4993</v>
      </c>
      <c r="FR156" s="218">
        <f t="shared" si="315"/>
        <v>625690869606025</v>
      </c>
      <c r="FS156" s="218">
        <f t="shared" si="316"/>
        <v>378374658765.76996</v>
      </c>
      <c r="FT156" s="218">
        <f>intermediates!$B$69*data!EU156/intermediates!$B$71</f>
        <v>4.2090348100244723</v>
      </c>
      <c r="FU156" s="218">
        <f>BC156*conversions!$C$1*1000000</f>
        <v>27663337016000.004</v>
      </c>
      <c r="FV156" s="218">
        <f t="shared" si="320"/>
        <v>6572370689383.5742</v>
      </c>
      <c r="FX156" s="221"/>
      <c r="FY156" s="221"/>
      <c r="FZ156" s="221"/>
      <c r="GA156" s="218">
        <f t="shared" si="241"/>
        <v>1577.5169375</v>
      </c>
      <c r="GB156" s="218">
        <f>GA156*1000000*10000*intermediates!$B$71/(intermediates!$B$72*data!EU156)</f>
        <v>4684912957190.6172</v>
      </c>
      <c r="GC156" s="218">
        <f t="shared" si="317"/>
        <v>8619125541338.6611</v>
      </c>
      <c r="GD156" s="218">
        <f t="shared" si="283"/>
        <v>20254783846678.621</v>
      </c>
      <c r="GE156" s="218">
        <f t="shared" si="318"/>
        <v>21537167703441.316</v>
      </c>
      <c r="GF156" s="218">
        <f t="shared" si="319"/>
        <v>299925666029.30298</v>
      </c>
      <c r="GG156" s="218">
        <f t="shared" si="273"/>
        <v>982458190733.39319</v>
      </c>
      <c r="GH156" s="218">
        <f t="shared" si="242"/>
        <v>8842143167889.748</v>
      </c>
      <c r="GI156" s="218">
        <f t="shared" si="274"/>
        <v>155357032214.68359</v>
      </c>
      <c r="GJ156" s="218">
        <f>ET156*intermediates!$B$73/intermediates!$B$71</f>
        <v>6.313552215036708</v>
      </c>
      <c r="GK156" s="218">
        <f>CL156*conversions!$C$1*1000000/data!GJ156</f>
        <v>3960055488610.5386</v>
      </c>
      <c r="GL156" s="218">
        <f>MIN(1,FN156)*(intermediates!$B$75-data!$GL$69)+data!$GL$69</f>
        <v>1</v>
      </c>
      <c r="GM156" s="218">
        <f>GL156*intermediates!$B$74*(FS156+GC156+GK156+GG156+GF156+GB156+FV156)</f>
        <v>3824583478807.7783</v>
      </c>
      <c r="GN156" s="218">
        <f>MIN(1,FN156)*intermediates!$B$76</f>
        <v>0.12</v>
      </c>
      <c r="GO156" s="218">
        <f t="shared" si="275"/>
        <v>3518616800503.1563</v>
      </c>
      <c r="GP156" s="218">
        <f>IF(A156&gt;intermediates!$B$29,MIN(1,(A156-intermediates!$B$29)/(intermediates!$B$31-intermediates!$B$29))*intermediates!$B$77,0)</f>
        <v>0.15</v>
      </c>
      <c r="GQ156" s="218">
        <f>IF(AND(A156&gt;intermediates!$B$29+intermediates!$B$30,data!GP156&lt;intermediates!$B$77),1,0)</f>
        <v>0</v>
      </c>
      <c r="GR156" s="218">
        <f t="shared" si="243"/>
        <v>7205893461843.75</v>
      </c>
      <c r="GS156" s="218">
        <f t="shared" si="244"/>
        <v>41799675086311.047</v>
      </c>
      <c r="GT156" s="218">
        <f t="shared" si="238"/>
        <v>86708720794625</v>
      </c>
      <c r="GU156" s="218">
        <f t="shared" si="245"/>
        <v>45875324510843.75</v>
      </c>
      <c r="GV156" s="218">
        <f t="shared" si="246"/>
        <v>29321806670859.637</v>
      </c>
      <c r="GW156" s="218">
        <f t="shared" si="247"/>
        <v>6239614659313.9531</v>
      </c>
      <c r="GX156" s="218">
        <f>MIN(intermediates!$B$88,FN156*intermediates!$B$87*GO156)</f>
        <v>1759308400251.5781</v>
      </c>
      <c r="GY156" s="218">
        <f t="shared" si="248"/>
        <v>1759308400251.5781</v>
      </c>
      <c r="GZ156" s="218">
        <f>MIN(intermediates!$B$88-GX156,intermediates!$B$87*data!GW156*FN156)</f>
        <v>2820691599748.4219</v>
      </c>
      <c r="HA156" s="218">
        <f t="shared" si="276"/>
        <v>3418923059565.5313</v>
      </c>
      <c r="HB156" s="218">
        <f t="shared" si="277"/>
        <v>4580000000000</v>
      </c>
      <c r="HC156" s="218">
        <f t="shared" si="249"/>
        <v>6931589612921.6084</v>
      </c>
      <c r="HD156" s="218">
        <f>HC156*intermediates!$B$79/(10000*1000000000)</f>
        <v>460.07874599030112</v>
      </c>
      <c r="HE156" s="218">
        <f>(GV156*intermediates!$B$80+GV156*GL156*intermediates!$B$82)/(10000*1000000000)</f>
        <v>1093.2091523126198</v>
      </c>
      <c r="HF156" s="218">
        <f>GU156*intermediates!$B$78/(10000*1000000000)</f>
        <v>4619.6154707550731</v>
      </c>
      <c r="HG156" s="218">
        <f>HB156*intermediates!$B$81/(10000*1000000000)</f>
        <v>1151.2448721556611</v>
      </c>
      <c r="HH156" s="218">
        <f t="shared" si="250"/>
        <v>0</v>
      </c>
      <c r="HI156" s="218">
        <f t="shared" si="251"/>
        <v>0</v>
      </c>
      <c r="HJ156" s="218">
        <f t="shared" si="252"/>
        <v>2.7008400977738916</v>
      </c>
      <c r="HK156" s="218">
        <f ca="1">SUM(HJ156:INDIRECT(ADDRESS(MAX(CELL("row",HJ156)-intermediates!$B$83,69),CELL("col",HJ156))))/intermediates!$B$83+SUM(HH156:INDIRECT(ADDRESS(MAX(CELL("row",HH156)-intermediates!$B$84,69),CELL("col",HH156))))/intermediates!$B$84+SUM(HI156:INDIRECT(ADDRESS(MAX(CELL("row",HI156)-intermediates!$B$85,69),CELL("col",HI156))))/intermediates!$B$85</f>
        <v>21.203868547309874</v>
      </c>
      <c r="HL156" s="218">
        <f t="shared" ca="1" si="278"/>
        <v>-80.751594085566751</v>
      </c>
      <c r="HM156" s="188">
        <f t="shared" si="253"/>
        <v>2100</v>
      </c>
      <c r="HQ156" s="185">
        <f t="shared" si="254"/>
        <v>802.2518478230636</v>
      </c>
      <c r="HR156" s="185">
        <f t="shared" si="255"/>
        <v>520.78447884997547</v>
      </c>
      <c r="HS156" s="185">
        <f t="shared" si="256"/>
        <v>371.22525009264893</v>
      </c>
      <c r="HT156" s="185">
        <f t="shared" si="257"/>
        <v>313.78866642204741</v>
      </c>
      <c r="HU156" s="185">
        <f t="shared" si="258"/>
        <v>303.05407408722181</v>
      </c>
      <c r="HV156" s="185">
        <f t="shared" si="259"/>
        <v>278.80974816024411</v>
      </c>
      <c r="HW156" s="185">
        <f t="shared" si="260"/>
        <v>570.98384259374632</v>
      </c>
      <c r="HX156" s="185">
        <f t="shared" si="261"/>
        <v>12.310250727076868</v>
      </c>
      <c r="HY156" s="185">
        <f t="shared" si="262"/>
        <v>138.93338570766528</v>
      </c>
      <c r="HZ156" s="185">
        <f>HQ156+HR156+HS156+HT156+HU156+HV156+HW156</f>
        <v>3160.8979080289473</v>
      </c>
      <c r="IA156" s="185">
        <f>HZ156+HX156+HY156</f>
        <v>3312.1415444636896</v>
      </c>
      <c r="IB156" s="185">
        <f t="shared" si="263"/>
        <v>2613.2301845738384</v>
      </c>
      <c r="IC156" s="185">
        <f t="shared" si="311"/>
        <v>3806.5589506249753</v>
      </c>
      <c r="ID156" s="185">
        <f t="shared" si="264"/>
        <v>3064.1058528254312</v>
      </c>
      <c r="IE156" s="184">
        <f t="shared" si="281"/>
        <v>-0.21071760363652578</v>
      </c>
      <c r="IF156" s="184">
        <f t="shared" si="282"/>
        <v>-0.16135780874064137</v>
      </c>
    </row>
    <row r="157" spans="1:240" x14ac:dyDescent="0.3">
      <c r="A157" s="211"/>
      <c r="BZ157" s="322"/>
      <c r="FN157" s="218"/>
      <c r="GP157" s="218"/>
      <c r="GQ157" s="218"/>
      <c r="GR157" s="218"/>
      <c r="GS157" s="218"/>
      <c r="GT157" s="359"/>
      <c r="GU157" s="218"/>
      <c r="GV157" s="218"/>
      <c r="GW157" s="218"/>
      <c r="GX157" s="218"/>
      <c r="GY157" s="218"/>
      <c r="GZ157" s="218"/>
      <c r="HA157" s="218"/>
      <c r="HB157" s="218"/>
      <c r="HC157" s="218"/>
      <c r="HH157" s="218"/>
      <c r="HI157" s="218"/>
      <c r="HJ157" s="218"/>
      <c r="HK157" s="218"/>
      <c r="HL157" s="218"/>
    </row>
    <row r="158" spans="1:240" x14ac:dyDescent="0.3">
      <c r="A158" s="211"/>
      <c r="BZ158" s="322"/>
      <c r="FN158" s="218"/>
      <c r="GP158" s="218"/>
      <c r="GQ158" s="218"/>
      <c r="GR158" s="218"/>
      <c r="GS158" s="218"/>
      <c r="GT158" s="218"/>
      <c r="GU158" s="218"/>
      <c r="GV158" s="218"/>
      <c r="GW158" s="218"/>
      <c r="GX158" s="218"/>
      <c r="GY158" s="218"/>
      <c r="GZ158" s="218"/>
      <c r="HA158" s="218"/>
      <c r="HB158" s="218"/>
      <c r="HC158" s="218"/>
      <c r="HD158" s="218"/>
      <c r="HE158" s="218"/>
      <c r="HF158" s="218"/>
      <c r="HG158" s="218"/>
      <c r="HH158" s="218"/>
      <c r="HI158" s="218"/>
      <c r="HJ158" s="218"/>
      <c r="HK158" s="218"/>
      <c r="HL158" s="218"/>
      <c r="HT158" s="347"/>
    </row>
    <row r="159" spans="1:240" x14ac:dyDescent="0.3">
      <c r="A159" s="211"/>
      <c r="BZ159" s="322"/>
      <c r="FN159" s="218"/>
      <c r="GP159" s="218"/>
      <c r="GQ159" s="218"/>
      <c r="GR159" s="218"/>
      <c r="GS159" s="218"/>
      <c r="GT159" s="218"/>
      <c r="GU159" s="218"/>
      <c r="GV159" s="218"/>
      <c r="GW159" s="218"/>
      <c r="GX159" s="218"/>
      <c r="GY159" s="218"/>
      <c r="GZ159" s="218"/>
      <c r="HA159" s="218"/>
      <c r="HB159" s="218"/>
      <c r="HC159" s="218"/>
      <c r="HD159" s="218"/>
      <c r="HE159" s="218"/>
      <c r="HF159" s="218"/>
      <c r="HG159" s="218"/>
      <c r="HH159" s="218"/>
      <c r="HI159" s="218"/>
      <c r="HJ159" s="218"/>
      <c r="HK159" s="218"/>
      <c r="HL159" s="218"/>
    </row>
    <row r="160" spans="1:240" x14ac:dyDescent="0.3">
      <c r="A160" s="211"/>
      <c r="BZ160" s="322"/>
      <c r="FN160" s="218"/>
      <c r="GP160" s="218"/>
      <c r="GQ160" s="218"/>
      <c r="GR160" s="218"/>
      <c r="GS160" s="218"/>
      <c r="GT160" s="218"/>
      <c r="GU160" s="218"/>
      <c r="GV160" s="218"/>
      <c r="GW160" s="218"/>
      <c r="GX160" s="218"/>
      <c r="GY160" s="218"/>
      <c r="GZ160" s="218"/>
      <c r="HA160" s="218"/>
      <c r="HB160" s="218"/>
      <c r="HC160" s="218"/>
      <c r="HD160" s="218"/>
      <c r="HE160" s="218"/>
      <c r="HF160" s="218"/>
      <c r="HG160" s="218"/>
      <c r="HH160" s="218"/>
      <c r="HI160" s="218"/>
      <c r="HJ160" s="218"/>
      <c r="HK160" s="218"/>
      <c r="HL160" s="218"/>
    </row>
    <row r="161" spans="1:220" x14ac:dyDescent="0.3">
      <c r="A161" s="211"/>
      <c r="FN161" s="218"/>
      <c r="GP161" s="218"/>
      <c r="GQ161" s="218"/>
      <c r="GR161" s="218"/>
      <c r="GS161" s="218"/>
      <c r="GT161" s="218"/>
      <c r="GU161" s="218"/>
      <c r="GV161" s="218"/>
      <c r="GW161" s="218"/>
      <c r="GX161" s="218"/>
      <c r="GY161" s="218"/>
      <c r="GZ161" s="218"/>
      <c r="HA161" s="218"/>
      <c r="HB161" s="218"/>
      <c r="HC161" s="218"/>
      <c r="HD161" s="218"/>
      <c r="HE161" s="218"/>
      <c r="HF161" s="218"/>
      <c r="HG161" s="218"/>
      <c r="HH161" s="218"/>
      <c r="HI161" s="218"/>
      <c r="HJ161" s="218"/>
      <c r="HK161" s="218"/>
      <c r="HL161" s="218"/>
    </row>
    <row r="162" spans="1:220" x14ac:dyDescent="0.3">
      <c r="A162" s="211"/>
      <c r="FN162" s="218"/>
      <c r="GP162" s="218"/>
      <c r="GQ162" s="218"/>
      <c r="GR162" s="218"/>
      <c r="GS162" s="218"/>
      <c r="GT162" s="218"/>
      <c r="GU162" s="218"/>
      <c r="GV162" s="218"/>
      <c r="GW162" s="218"/>
      <c r="GX162" s="218"/>
      <c r="GY162" s="218"/>
      <c r="GZ162" s="218"/>
      <c r="HA162" s="218"/>
      <c r="HB162" s="218"/>
      <c r="HC162" s="218"/>
      <c r="HD162" s="218"/>
      <c r="HE162" s="218"/>
      <c r="HF162" s="218"/>
      <c r="HG162" s="218"/>
      <c r="HH162" s="218"/>
      <c r="HI162" s="218"/>
      <c r="HJ162" s="218"/>
      <c r="HK162" s="218"/>
      <c r="HL162" s="218"/>
    </row>
    <row r="163" spans="1:220" x14ac:dyDescent="0.3">
      <c r="A163" s="211"/>
      <c r="FN163" s="218"/>
      <c r="GP163" s="218"/>
      <c r="GQ163" s="218"/>
      <c r="GR163" s="218"/>
      <c r="GS163" s="218"/>
      <c r="GT163" s="218"/>
      <c r="GU163" s="218"/>
      <c r="GV163" s="218"/>
      <c r="GW163" s="218"/>
      <c r="GX163" s="218"/>
      <c r="GY163" s="218"/>
      <c r="GZ163" s="218"/>
      <c r="HA163" s="218"/>
      <c r="HB163" s="218"/>
      <c r="HC163" s="218"/>
      <c r="HD163" s="218"/>
      <c r="HE163" s="218"/>
      <c r="HF163" s="218"/>
      <c r="HG163" s="218"/>
      <c r="HH163" s="218"/>
      <c r="HI163" s="218"/>
      <c r="HJ163" s="218"/>
      <c r="HK163" s="218"/>
      <c r="HL163" s="218"/>
    </row>
    <row r="164" spans="1:220" x14ac:dyDescent="0.3">
      <c r="A164" s="211"/>
      <c r="FN164" s="218"/>
      <c r="GP164" s="218"/>
      <c r="GQ164" s="218"/>
      <c r="GR164" s="218"/>
      <c r="GS164" s="218"/>
      <c r="GT164" s="218"/>
      <c r="GU164" s="218"/>
      <c r="GV164" s="218"/>
      <c r="GW164" s="218"/>
      <c r="GX164" s="218"/>
      <c r="GY164" s="218"/>
      <c r="GZ164" s="218"/>
      <c r="HA164" s="218"/>
      <c r="HB164" s="218"/>
      <c r="HC164" s="218"/>
      <c r="HD164" s="218"/>
      <c r="HE164" s="218"/>
      <c r="HF164" s="218"/>
      <c r="HG164" s="218"/>
      <c r="HH164" s="218"/>
      <c r="HI164" s="218"/>
      <c r="HJ164" s="218"/>
      <c r="HK164" s="218"/>
      <c r="HL164" s="218"/>
    </row>
    <row r="165" spans="1:220" x14ac:dyDescent="0.3">
      <c r="A165" s="211"/>
      <c r="FN165" s="218"/>
      <c r="GP165" s="218"/>
      <c r="GQ165" s="218"/>
      <c r="GR165" s="218"/>
      <c r="GS165" s="218"/>
      <c r="GT165" s="218"/>
      <c r="GU165" s="218"/>
      <c r="GV165" s="218"/>
      <c r="GW165" s="218"/>
      <c r="GX165" s="218"/>
      <c r="GY165" s="218"/>
      <c r="GZ165" s="218"/>
      <c r="HA165" s="218"/>
      <c r="HB165" s="218"/>
      <c r="HC165" s="218"/>
      <c r="HD165" s="218"/>
      <c r="HE165" s="218"/>
      <c r="HF165" s="218"/>
      <c r="HG165" s="218"/>
      <c r="HH165" s="218"/>
      <c r="HI165" s="218"/>
      <c r="HJ165" s="218"/>
      <c r="HK165" s="218"/>
      <c r="HL165" s="218"/>
    </row>
    <row r="166" spans="1:220" x14ac:dyDescent="0.3">
      <c r="A166" s="211"/>
      <c r="FN166" s="218"/>
      <c r="GP166" s="218"/>
      <c r="GQ166" s="218"/>
      <c r="GR166" s="218"/>
      <c r="GS166" s="218"/>
      <c r="GT166" s="218"/>
      <c r="GU166" s="218"/>
      <c r="GV166" s="218"/>
      <c r="GW166" s="218"/>
      <c r="GX166" s="218"/>
      <c r="GY166" s="218"/>
      <c r="GZ166" s="218"/>
      <c r="HA166" s="218"/>
      <c r="HB166" s="218"/>
      <c r="HC166" s="218"/>
      <c r="HD166" s="218"/>
      <c r="HE166" s="218"/>
      <c r="HF166" s="218"/>
      <c r="HG166" s="218"/>
      <c r="HH166" s="218"/>
      <c r="HI166" s="218"/>
      <c r="HJ166" s="218"/>
      <c r="HK166" s="218"/>
      <c r="HL166" s="218"/>
    </row>
    <row r="167" spans="1:220" x14ac:dyDescent="0.3">
      <c r="A167" s="211"/>
      <c r="FN167" s="218"/>
      <c r="GP167" s="218"/>
      <c r="GQ167" s="218"/>
      <c r="GR167" s="218"/>
      <c r="GS167" s="218"/>
      <c r="GT167" s="218"/>
      <c r="GU167" s="218"/>
      <c r="GV167" s="218"/>
      <c r="GW167" s="218"/>
      <c r="GX167" s="218"/>
      <c r="GY167" s="218"/>
      <c r="GZ167" s="218"/>
      <c r="HA167" s="218"/>
      <c r="HB167" s="218"/>
      <c r="HC167" s="218"/>
      <c r="HD167" s="218"/>
      <c r="HE167" s="218"/>
      <c r="HF167" s="218"/>
      <c r="HG167" s="218"/>
      <c r="HH167" s="218"/>
      <c r="HI167" s="218"/>
      <c r="HJ167" s="218"/>
      <c r="HK167" s="218"/>
      <c r="HL167" s="218"/>
    </row>
    <row r="168" spans="1:220" x14ac:dyDescent="0.3">
      <c r="A168" s="211"/>
      <c r="FN168" s="218"/>
      <c r="GP168" s="218"/>
      <c r="GQ168" s="218"/>
      <c r="GR168" s="218"/>
      <c r="GS168" s="218"/>
      <c r="GT168" s="218"/>
      <c r="GU168" s="218"/>
      <c r="GV168" s="218"/>
      <c r="GW168" s="218"/>
      <c r="GX168" s="218"/>
      <c r="GY168" s="218"/>
      <c r="GZ168" s="218"/>
      <c r="HA168" s="218"/>
      <c r="HB168" s="218"/>
      <c r="HC168" s="218"/>
      <c r="HD168" s="218"/>
      <c r="HE168" s="218"/>
      <c r="HF168" s="218"/>
      <c r="HG168" s="218"/>
      <c r="HH168" s="218"/>
      <c r="HI168" s="218"/>
      <c r="HJ168" s="218"/>
      <c r="HK168" s="218"/>
      <c r="HL168" s="218"/>
    </row>
    <row r="169" spans="1:220" x14ac:dyDescent="0.3">
      <c r="A169" s="211"/>
      <c r="FN169" s="218"/>
      <c r="GP169" s="218"/>
      <c r="GQ169" s="218"/>
      <c r="GR169" s="218"/>
      <c r="GS169" s="218"/>
      <c r="GT169" s="218"/>
      <c r="GU169" s="218"/>
      <c r="GV169" s="218"/>
      <c r="GW169" s="218"/>
      <c r="GX169" s="218"/>
      <c r="GY169" s="218"/>
      <c r="GZ169" s="218"/>
      <c r="HA169" s="218"/>
      <c r="HB169" s="218"/>
      <c r="HC169" s="218"/>
      <c r="HD169" s="218"/>
      <c r="HE169" s="218"/>
      <c r="HF169" s="218"/>
      <c r="HG169" s="218"/>
      <c r="HH169" s="218"/>
      <c r="HI169" s="218"/>
      <c r="HJ169" s="218"/>
      <c r="HK169" s="218"/>
      <c r="HL169" s="218"/>
    </row>
    <row r="170" spans="1:220" x14ac:dyDescent="0.3">
      <c r="A170" s="211"/>
      <c r="FN170" s="218"/>
      <c r="GP170" s="218"/>
      <c r="GQ170" s="218"/>
      <c r="GR170" s="218"/>
      <c r="GS170" s="218"/>
      <c r="GT170" s="218"/>
      <c r="GU170" s="218"/>
      <c r="GV170" s="218"/>
      <c r="GW170" s="218"/>
      <c r="GX170" s="218"/>
      <c r="GY170" s="218"/>
      <c r="GZ170" s="218"/>
      <c r="HA170" s="218"/>
      <c r="HB170" s="218"/>
      <c r="HC170" s="218"/>
      <c r="HD170" s="218"/>
      <c r="HE170" s="218"/>
      <c r="HF170" s="218"/>
      <c r="HG170" s="218"/>
      <c r="HH170" s="218"/>
      <c r="HI170" s="218"/>
      <c r="HJ170" s="218"/>
      <c r="HK170" s="218"/>
      <c r="HL170" s="218"/>
    </row>
    <row r="171" spans="1:220" x14ac:dyDescent="0.3">
      <c r="A171" s="211"/>
      <c r="FN171" s="218"/>
      <c r="GP171" s="218"/>
      <c r="GQ171" s="218"/>
      <c r="GR171" s="218"/>
      <c r="GS171" s="218"/>
      <c r="GT171" s="218"/>
      <c r="GU171" s="218"/>
      <c r="GV171" s="218"/>
      <c r="GW171" s="218"/>
      <c r="GX171" s="218"/>
      <c r="GY171" s="218"/>
      <c r="GZ171" s="218"/>
      <c r="HA171" s="218"/>
      <c r="HB171" s="218"/>
      <c r="HC171" s="218"/>
      <c r="HD171" s="218"/>
      <c r="HE171" s="218"/>
      <c r="HF171" s="218"/>
      <c r="HG171" s="218"/>
      <c r="HH171" s="218"/>
      <c r="HI171" s="218"/>
      <c r="HJ171" s="218"/>
      <c r="HK171" s="218"/>
      <c r="HL171" s="218"/>
    </row>
    <row r="172" spans="1:220" x14ac:dyDescent="0.3">
      <c r="A172" s="211"/>
      <c r="FN172" s="218"/>
      <c r="GP172" s="218"/>
      <c r="GQ172" s="218"/>
      <c r="GR172" s="218"/>
      <c r="GS172" s="218"/>
      <c r="GT172" s="218"/>
      <c r="GU172" s="218"/>
      <c r="GV172" s="218"/>
      <c r="GW172" s="218"/>
      <c r="GX172" s="218"/>
      <c r="GY172" s="218"/>
      <c r="GZ172" s="218"/>
      <c r="HA172" s="218"/>
      <c r="HB172" s="218"/>
      <c r="HC172" s="218"/>
      <c r="HD172" s="218"/>
      <c r="HE172" s="218"/>
      <c r="HF172" s="218"/>
      <c r="HG172" s="218"/>
      <c r="HH172" s="218"/>
      <c r="HI172" s="218"/>
      <c r="HJ172" s="218"/>
      <c r="HK172" s="218"/>
      <c r="HL172" s="218"/>
    </row>
    <row r="173" spans="1:220" x14ac:dyDescent="0.3">
      <c r="A173" s="211"/>
      <c r="FN173" s="218"/>
      <c r="GP173" s="218"/>
      <c r="GQ173" s="218"/>
      <c r="GR173" s="218"/>
      <c r="GS173" s="218"/>
      <c r="GT173" s="218"/>
      <c r="GU173" s="218"/>
      <c r="GV173" s="218"/>
      <c r="GW173" s="218"/>
      <c r="GX173" s="218"/>
      <c r="GY173" s="218"/>
      <c r="GZ173" s="218"/>
      <c r="HA173" s="218"/>
      <c r="HB173" s="218"/>
      <c r="HC173" s="218"/>
      <c r="HD173" s="218"/>
      <c r="HE173" s="218"/>
      <c r="HF173" s="218"/>
      <c r="HG173" s="218"/>
      <c r="HH173" s="218"/>
      <c r="HI173" s="218"/>
      <c r="HJ173" s="218"/>
      <c r="HK173" s="218"/>
      <c r="HL173" s="218"/>
    </row>
    <row r="174" spans="1:220" x14ac:dyDescent="0.3">
      <c r="A174" s="211"/>
      <c r="FN174" s="218"/>
      <c r="GP174" s="218"/>
      <c r="GQ174" s="218"/>
      <c r="GR174" s="218"/>
      <c r="GS174" s="218"/>
      <c r="GT174" s="218"/>
      <c r="GU174" s="218"/>
      <c r="GV174" s="218"/>
      <c r="GW174" s="218"/>
      <c r="GX174" s="218"/>
      <c r="GY174" s="218"/>
      <c r="GZ174" s="218"/>
      <c r="HA174" s="218"/>
      <c r="HB174" s="218"/>
      <c r="HC174" s="218"/>
      <c r="HD174" s="218"/>
      <c r="HE174" s="218"/>
      <c r="HF174" s="218"/>
      <c r="HG174" s="218"/>
      <c r="HH174" s="218"/>
      <c r="HI174" s="218"/>
      <c r="HJ174" s="218"/>
      <c r="HK174" s="218"/>
      <c r="HL174" s="218"/>
    </row>
    <row r="175" spans="1:220" x14ac:dyDescent="0.3">
      <c r="A175" s="211"/>
      <c r="FN175" s="218"/>
      <c r="GP175" s="218"/>
      <c r="GQ175" s="218"/>
      <c r="GR175" s="218"/>
      <c r="GS175" s="218"/>
      <c r="GT175" s="218"/>
      <c r="GU175" s="218"/>
      <c r="GV175" s="218"/>
      <c r="GW175" s="218"/>
      <c r="GX175" s="218"/>
      <c r="GY175" s="218"/>
      <c r="GZ175" s="218"/>
      <c r="HA175" s="218"/>
      <c r="HB175" s="218"/>
      <c r="HC175" s="218"/>
      <c r="HD175" s="218"/>
      <c r="HE175" s="218"/>
      <c r="HF175" s="218"/>
      <c r="HG175" s="218"/>
      <c r="HH175" s="218"/>
      <c r="HI175" s="218"/>
      <c r="HJ175" s="218"/>
      <c r="HK175" s="218"/>
      <c r="HL175" s="218"/>
    </row>
    <row r="176" spans="1:220" x14ac:dyDescent="0.3">
      <c r="A176" s="211"/>
      <c r="FN176" s="218"/>
      <c r="GP176" s="218"/>
      <c r="GQ176" s="218"/>
      <c r="GR176" s="218"/>
      <c r="GS176" s="218"/>
      <c r="GT176" s="218"/>
      <c r="GU176" s="218"/>
      <c r="GV176" s="218"/>
      <c r="GW176" s="218"/>
      <c r="GX176" s="218"/>
      <c r="GY176" s="218"/>
      <c r="GZ176" s="218"/>
      <c r="HA176" s="218"/>
      <c r="HB176" s="218"/>
      <c r="HC176" s="218"/>
      <c r="HD176" s="218"/>
      <c r="HE176" s="218"/>
      <c r="HF176" s="218"/>
      <c r="HG176" s="218"/>
      <c r="HH176" s="218"/>
      <c r="HI176" s="218"/>
      <c r="HJ176" s="218"/>
      <c r="HK176" s="218"/>
      <c r="HL176" s="218"/>
    </row>
    <row r="177" spans="1:220" x14ac:dyDescent="0.3">
      <c r="A177" s="211"/>
      <c r="FN177" s="218"/>
      <c r="GP177" s="218"/>
      <c r="GQ177" s="218"/>
      <c r="GR177" s="218"/>
      <c r="GS177" s="218"/>
      <c r="GT177" s="218"/>
      <c r="GU177" s="218"/>
      <c r="GV177" s="218"/>
      <c r="GW177" s="218"/>
      <c r="GX177" s="218"/>
      <c r="GY177" s="218"/>
      <c r="GZ177" s="218"/>
      <c r="HA177" s="218"/>
      <c r="HB177" s="218"/>
      <c r="HC177" s="218"/>
      <c r="HD177" s="218"/>
      <c r="HE177" s="218"/>
      <c r="HF177" s="218"/>
      <c r="HG177" s="218"/>
      <c r="HH177" s="218"/>
      <c r="HI177" s="218"/>
      <c r="HJ177" s="218"/>
      <c r="HK177" s="218"/>
      <c r="HL177" s="218"/>
    </row>
    <row r="178" spans="1:220" x14ac:dyDescent="0.3">
      <c r="A178" s="211"/>
      <c r="FN178" s="218"/>
      <c r="GP178" s="218"/>
      <c r="GQ178" s="218"/>
      <c r="GR178" s="218"/>
      <c r="GS178" s="218"/>
      <c r="GT178" s="218"/>
      <c r="GU178" s="218"/>
      <c r="GV178" s="218"/>
      <c r="GW178" s="218"/>
      <c r="GX178" s="218"/>
      <c r="GY178" s="218"/>
      <c r="GZ178" s="218"/>
      <c r="HA178" s="218"/>
      <c r="HB178" s="218"/>
      <c r="HC178" s="218"/>
      <c r="HD178" s="218"/>
      <c r="HE178" s="218"/>
      <c r="HF178" s="218"/>
      <c r="HG178" s="218"/>
      <c r="HH178" s="218"/>
      <c r="HI178" s="218"/>
      <c r="HJ178" s="218"/>
      <c r="HK178" s="218"/>
      <c r="HL178" s="218"/>
    </row>
    <row r="179" spans="1:220" x14ac:dyDescent="0.3">
      <c r="A179" s="211"/>
      <c r="FN179" s="218"/>
      <c r="GP179" s="218"/>
      <c r="GQ179" s="218"/>
      <c r="GR179" s="218"/>
      <c r="GS179" s="218"/>
      <c r="GT179" s="218"/>
      <c r="GU179" s="218"/>
      <c r="GV179" s="218"/>
      <c r="GW179" s="218"/>
      <c r="GX179" s="218"/>
      <c r="GY179" s="218"/>
      <c r="GZ179" s="218"/>
      <c r="HA179" s="218"/>
      <c r="HB179" s="218"/>
      <c r="HC179" s="218"/>
      <c r="HD179" s="218"/>
      <c r="HE179" s="218"/>
      <c r="HF179" s="218"/>
      <c r="HG179" s="218"/>
      <c r="HH179" s="218"/>
      <c r="HI179" s="218"/>
      <c r="HJ179" s="218"/>
      <c r="HK179" s="218"/>
      <c r="HL179" s="218"/>
    </row>
    <row r="180" spans="1:220" x14ac:dyDescent="0.3">
      <c r="A180" s="211"/>
      <c r="FN180" s="218"/>
      <c r="GP180" s="218"/>
      <c r="GQ180" s="218"/>
      <c r="GR180" s="218"/>
      <c r="GS180" s="218"/>
      <c r="GT180" s="218"/>
      <c r="GU180" s="218"/>
      <c r="GV180" s="218"/>
      <c r="GW180" s="218"/>
      <c r="GX180" s="218"/>
      <c r="GY180" s="218"/>
      <c r="GZ180" s="218"/>
      <c r="HA180" s="218"/>
      <c r="HB180" s="218"/>
      <c r="HC180" s="218"/>
      <c r="HD180" s="218"/>
      <c r="HE180" s="218"/>
      <c r="HF180" s="218"/>
      <c r="HG180" s="218"/>
      <c r="HH180" s="218"/>
      <c r="HI180" s="218"/>
      <c r="HJ180" s="218"/>
      <c r="HK180" s="218"/>
      <c r="HL180" s="218"/>
    </row>
    <row r="181" spans="1:220" x14ac:dyDescent="0.3">
      <c r="A181" s="211"/>
      <c r="FN181" s="218"/>
      <c r="GP181" s="218"/>
      <c r="GQ181" s="218"/>
      <c r="GR181" s="218"/>
      <c r="GS181" s="218"/>
      <c r="GT181" s="218"/>
      <c r="GU181" s="218"/>
      <c r="GV181" s="218"/>
      <c r="GW181" s="218"/>
      <c r="GX181" s="218"/>
      <c r="GY181" s="218"/>
      <c r="GZ181" s="218"/>
      <c r="HA181" s="218"/>
      <c r="HB181" s="218"/>
      <c r="HC181" s="218"/>
      <c r="HD181" s="218"/>
      <c r="HE181" s="218"/>
      <c r="HF181" s="218"/>
      <c r="HG181" s="218"/>
      <c r="HH181" s="218"/>
      <c r="HI181" s="218"/>
      <c r="HJ181" s="218"/>
      <c r="HK181" s="218"/>
      <c r="HL181" s="218"/>
    </row>
    <row r="182" spans="1:220" x14ac:dyDescent="0.3">
      <c r="A182" s="211"/>
      <c r="FN182" s="218"/>
      <c r="GP182" s="218"/>
      <c r="GQ182" s="218"/>
      <c r="GR182" s="218"/>
      <c r="GS182" s="218"/>
      <c r="GT182" s="218"/>
      <c r="GU182" s="218"/>
      <c r="GV182" s="218"/>
      <c r="GW182" s="218"/>
      <c r="GX182" s="218"/>
      <c r="GY182" s="218"/>
      <c r="GZ182" s="218"/>
      <c r="HA182" s="218"/>
      <c r="HB182" s="218"/>
      <c r="HC182" s="218"/>
      <c r="HD182" s="218"/>
      <c r="HE182" s="218"/>
      <c r="HF182" s="218"/>
      <c r="HG182" s="218"/>
      <c r="HH182" s="218"/>
      <c r="HI182" s="218"/>
      <c r="HJ182" s="218"/>
      <c r="HK182" s="218"/>
      <c r="HL182" s="218"/>
    </row>
    <row r="183" spans="1:220" x14ac:dyDescent="0.3">
      <c r="A183" s="211"/>
      <c r="FN183" s="218"/>
      <c r="GP183" s="218"/>
      <c r="GQ183" s="218"/>
      <c r="GR183" s="218"/>
      <c r="GS183" s="218"/>
      <c r="GT183" s="218"/>
      <c r="GU183" s="218"/>
      <c r="GV183" s="218"/>
      <c r="GW183" s="218"/>
      <c r="GX183" s="218"/>
      <c r="GY183" s="218"/>
      <c r="GZ183" s="218"/>
      <c r="HA183" s="218"/>
      <c r="HB183" s="218"/>
      <c r="HC183" s="218"/>
      <c r="HD183" s="218"/>
      <c r="HE183" s="218"/>
      <c r="HF183" s="218"/>
      <c r="HG183" s="218"/>
      <c r="HH183" s="218"/>
      <c r="HI183" s="218"/>
      <c r="HJ183" s="218"/>
      <c r="HK183" s="218"/>
      <c r="HL183" s="218"/>
    </row>
    <row r="184" spans="1:220" x14ac:dyDescent="0.3">
      <c r="A184" s="211"/>
      <c r="FN184" s="218"/>
      <c r="GP184" s="218"/>
      <c r="GQ184" s="218"/>
      <c r="GR184" s="218"/>
      <c r="GS184" s="218"/>
      <c r="GT184" s="218"/>
      <c r="GU184" s="218"/>
      <c r="GV184" s="218"/>
      <c r="GW184" s="218"/>
      <c r="GX184" s="218"/>
      <c r="GY184" s="218"/>
      <c r="GZ184" s="218"/>
      <c r="HA184" s="218"/>
      <c r="HB184" s="218"/>
      <c r="HC184" s="218"/>
      <c r="HD184" s="218"/>
      <c r="HE184" s="218"/>
      <c r="HF184" s="218"/>
      <c r="HG184" s="218"/>
      <c r="HH184" s="218"/>
      <c r="HI184" s="218"/>
      <c r="HJ184" s="218"/>
      <c r="HK184" s="218"/>
      <c r="HL184" s="218"/>
    </row>
    <row r="185" spans="1:220" x14ac:dyDescent="0.3">
      <c r="A185" s="211"/>
      <c r="FN185" s="218"/>
      <c r="GP185" s="218"/>
      <c r="GQ185" s="218"/>
      <c r="GR185" s="218"/>
      <c r="GS185" s="218"/>
      <c r="GT185" s="218"/>
      <c r="GU185" s="218"/>
      <c r="GV185" s="218"/>
      <c r="GW185" s="218"/>
      <c r="GX185" s="218"/>
      <c r="GY185" s="218"/>
      <c r="GZ185" s="218"/>
      <c r="HA185" s="218"/>
      <c r="HB185" s="218"/>
      <c r="HC185" s="218"/>
      <c r="HD185" s="218"/>
      <c r="HE185" s="218"/>
      <c r="HF185" s="218"/>
      <c r="HG185" s="218"/>
      <c r="HH185" s="218"/>
      <c r="HI185" s="218"/>
      <c r="HJ185" s="218"/>
      <c r="HK185" s="218"/>
      <c r="HL185" s="218"/>
    </row>
    <row r="186" spans="1:220" x14ac:dyDescent="0.3">
      <c r="A186" s="211"/>
      <c r="FN186" s="218"/>
      <c r="GP186" s="218"/>
      <c r="GQ186" s="218"/>
      <c r="GR186" s="218"/>
      <c r="GS186" s="218"/>
      <c r="GT186" s="218"/>
      <c r="GU186" s="218"/>
      <c r="GV186" s="218"/>
      <c r="GW186" s="218"/>
      <c r="GX186" s="218"/>
      <c r="GY186" s="218"/>
      <c r="GZ186" s="218"/>
      <c r="HA186" s="218"/>
      <c r="HB186" s="218"/>
      <c r="HC186" s="218"/>
      <c r="HD186" s="218"/>
      <c r="HE186" s="218"/>
      <c r="HF186" s="218"/>
      <c r="HG186" s="218"/>
      <c r="HH186" s="218"/>
      <c r="HI186" s="218"/>
      <c r="HJ186" s="218"/>
      <c r="HK186" s="218"/>
      <c r="HL186" s="218"/>
    </row>
    <row r="187" spans="1:220" x14ac:dyDescent="0.3">
      <c r="A187" s="211"/>
      <c r="FN187" s="218"/>
      <c r="GP187" s="218"/>
      <c r="GQ187" s="218"/>
      <c r="GR187" s="218"/>
      <c r="GS187" s="218"/>
      <c r="GT187" s="218"/>
      <c r="GU187" s="218"/>
      <c r="GV187" s="218"/>
      <c r="GW187" s="218"/>
      <c r="GX187" s="218"/>
      <c r="GY187" s="218"/>
      <c r="GZ187" s="218"/>
      <c r="HA187" s="218"/>
      <c r="HB187" s="218"/>
      <c r="HC187" s="218"/>
      <c r="HD187" s="218"/>
      <c r="HE187" s="218"/>
      <c r="HF187" s="218"/>
      <c r="HG187" s="218"/>
      <c r="HH187" s="218"/>
      <c r="HI187" s="218"/>
      <c r="HJ187" s="218"/>
      <c r="HK187" s="218"/>
      <c r="HL187" s="218"/>
    </row>
    <row r="188" spans="1:220" x14ac:dyDescent="0.3">
      <c r="A188" s="211"/>
      <c r="FN188" s="218"/>
      <c r="GP188" s="218"/>
      <c r="GQ188" s="218"/>
      <c r="GR188" s="218"/>
      <c r="GS188" s="218"/>
      <c r="GT188" s="218"/>
      <c r="GU188" s="218"/>
      <c r="GV188" s="218"/>
      <c r="GW188" s="218"/>
      <c r="GX188" s="218"/>
      <c r="GY188" s="218"/>
      <c r="GZ188" s="218"/>
      <c r="HA188" s="218"/>
      <c r="HB188" s="218"/>
      <c r="HC188" s="218"/>
      <c r="HD188" s="218"/>
      <c r="HE188" s="218"/>
      <c r="HF188" s="218"/>
      <c r="HG188" s="218"/>
      <c r="HH188" s="218"/>
      <c r="HI188" s="218"/>
      <c r="HJ188" s="218"/>
      <c r="HK188" s="218"/>
      <c r="HL188" s="218"/>
    </row>
    <row r="189" spans="1:220" x14ac:dyDescent="0.3">
      <c r="A189" s="211"/>
      <c r="FN189" s="218"/>
      <c r="GP189" s="218"/>
      <c r="GQ189" s="218"/>
      <c r="GR189" s="218"/>
      <c r="GS189" s="218"/>
      <c r="GT189" s="218"/>
      <c r="GU189" s="218"/>
      <c r="GV189" s="218"/>
      <c r="GW189" s="218"/>
      <c r="GX189" s="218"/>
      <c r="GY189" s="218"/>
      <c r="GZ189" s="218"/>
      <c r="HA189" s="218"/>
      <c r="HB189" s="218"/>
      <c r="HC189" s="218"/>
      <c r="HD189" s="218"/>
      <c r="HE189" s="218"/>
      <c r="HF189" s="218"/>
      <c r="HG189" s="218"/>
      <c r="HH189" s="218"/>
      <c r="HI189" s="218"/>
      <c r="HJ189" s="218"/>
      <c r="HK189" s="218"/>
      <c r="HL189" s="218"/>
    </row>
    <row r="190" spans="1:220" x14ac:dyDescent="0.3">
      <c r="A190" s="211"/>
      <c r="FN190" s="218"/>
      <c r="GP190" s="218"/>
      <c r="GQ190" s="218"/>
      <c r="GR190" s="218"/>
      <c r="GS190" s="218"/>
      <c r="GT190" s="218"/>
      <c r="GU190" s="218"/>
      <c r="GV190" s="218"/>
      <c r="GW190" s="218"/>
      <c r="GX190" s="218"/>
      <c r="GY190" s="218"/>
      <c r="GZ190" s="218"/>
      <c r="HA190" s="218"/>
      <c r="HB190" s="218"/>
      <c r="HC190" s="218"/>
      <c r="HD190" s="218"/>
      <c r="HE190" s="218"/>
      <c r="HF190" s="218"/>
      <c r="HG190" s="218"/>
      <c r="HH190" s="218"/>
      <c r="HI190" s="218"/>
      <c r="HJ190" s="218"/>
      <c r="HK190" s="218"/>
      <c r="HL190" s="218"/>
    </row>
    <row r="191" spans="1:220" x14ac:dyDescent="0.3">
      <c r="A191" s="211"/>
      <c r="FN191" s="218"/>
      <c r="GP191" s="218"/>
      <c r="GQ191" s="218"/>
      <c r="GR191" s="218"/>
      <c r="GS191" s="218"/>
      <c r="GT191" s="218"/>
      <c r="GU191" s="218"/>
      <c r="GV191" s="218"/>
      <c r="GW191" s="218"/>
      <c r="GX191" s="218"/>
      <c r="GY191" s="218"/>
      <c r="GZ191" s="218"/>
      <c r="HA191" s="218"/>
      <c r="HB191" s="218"/>
      <c r="HC191" s="218"/>
      <c r="HD191" s="218"/>
      <c r="HE191" s="218"/>
      <c r="HF191" s="218"/>
      <c r="HG191" s="218"/>
      <c r="HH191" s="218"/>
      <c r="HI191" s="218"/>
      <c r="HJ191" s="218"/>
      <c r="HK191" s="218"/>
      <c r="HL191" s="218"/>
    </row>
    <row r="192" spans="1:220" x14ac:dyDescent="0.3">
      <c r="A192" s="211"/>
      <c r="FN192" s="218"/>
      <c r="GP192" s="218"/>
      <c r="GQ192" s="218"/>
      <c r="GR192" s="218"/>
      <c r="GS192" s="218"/>
      <c r="GT192" s="218"/>
      <c r="GU192" s="218"/>
      <c r="GV192" s="218"/>
      <c r="GW192" s="218"/>
      <c r="GX192" s="218"/>
      <c r="GY192" s="218"/>
      <c r="GZ192" s="218"/>
      <c r="HA192" s="218"/>
      <c r="HB192" s="218"/>
      <c r="HC192" s="218"/>
      <c r="HD192" s="218"/>
      <c r="HE192" s="218"/>
      <c r="HF192" s="218"/>
      <c r="HG192" s="218"/>
      <c r="HH192" s="218"/>
      <c r="HI192" s="218"/>
      <c r="HJ192" s="218"/>
      <c r="HK192" s="218"/>
      <c r="HL192" s="218"/>
    </row>
    <row r="193" spans="1:220" x14ac:dyDescent="0.3">
      <c r="A193" s="211"/>
      <c r="FN193" s="218"/>
      <c r="GP193" s="218"/>
      <c r="GQ193" s="218"/>
      <c r="GR193" s="218"/>
      <c r="GS193" s="218"/>
      <c r="GT193" s="218"/>
      <c r="GU193" s="218"/>
      <c r="GV193" s="218"/>
      <c r="GW193" s="218"/>
      <c r="GX193" s="218"/>
      <c r="GY193" s="218"/>
      <c r="GZ193" s="218"/>
      <c r="HA193" s="218"/>
      <c r="HB193" s="218"/>
      <c r="HC193" s="218"/>
      <c r="HD193" s="218"/>
      <c r="HE193" s="218"/>
      <c r="HF193" s="218"/>
      <c r="HG193" s="218"/>
      <c r="HH193" s="218"/>
      <c r="HI193" s="218"/>
      <c r="HJ193" s="218"/>
      <c r="HK193" s="218"/>
      <c r="HL193" s="218"/>
    </row>
    <row r="194" spans="1:220" x14ac:dyDescent="0.3">
      <c r="A194" s="211"/>
      <c r="FN194" s="218"/>
      <c r="GP194" s="218"/>
      <c r="GQ194" s="218"/>
      <c r="GR194" s="218"/>
      <c r="GS194" s="218"/>
      <c r="GT194" s="218"/>
      <c r="GU194" s="218"/>
      <c r="GV194" s="218"/>
      <c r="GW194" s="218"/>
      <c r="GX194" s="218"/>
      <c r="GY194" s="218"/>
      <c r="GZ194" s="218"/>
      <c r="HA194" s="218"/>
      <c r="HB194" s="218"/>
      <c r="HC194" s="218"/>
      <c r="HD194" s="218"/>
      <c r="HE194" s="218"/>
      <c r="HF194" s="218"/>
      <c r="HG194" s="218"/>
      <c r="HH194" s="218"/>
      <c r="HI194" s="218"/>
      <c r="HJ194" s="218"/>
      <c r="HK194" s="218"/>
      <c r="HL194" s="218"/>
    </row>
    <row r="195" spans="1:220" x14ac:dyDescent="0.3">
      <c r="A195" s="211"/>
      <c r="FN195" s="218"/>
      <c r="GP195" s="218"/>
      <c r="GQ195" s="218"/>
      <c r="GR195" s="218"/>
      <c r="GS195" s="218"/>
      <c r="GT195" s="218"/>
      <c r="GU195" s="218"/>
      <c r="GV195" s="218"/>
      <c r="GW195" s="218"/>
      <c r="GX195" s="218"/>
      <c r="GY195" s="218"/>
      <c r="GZ195" s="218"/>
      <c r="HA195" s="218"/>
      <c r="HB195" s="218"/>
      <c r="HC195" s="218"/>
      <c r="HD195" s="218"/>
      <c r="HE195" s="218"/>
      <c r="HF195" s="218"/>
      <c r="HG195" s="218"/>
      <c r="HH195" s="218"/>
      <c r="HI195" s="218"/>
      <c r="HJ195" s="218"/>
      <c r="HK195" s="218"/>
      <c r="HL195" s="218"/>
    </row>
    <row r="196" spans="1:220" x14ac:dyDescent="0.3">
      <c r="A196" s="211"/>
      <c r="FN196" s="218"/>
      <c r="GP196" s="218"/>
      <c r="GQ196" s="218"/>
      <c r="GR196" s="218"/>
      <c r="GS196" s="218"/>
      <c r="GT196" s="218"/>
      <c r="GU196" s="218"/>
      <c r="GV196" s="218"/>
      <c r="GW196" s="218"/>
      <c r="GX196" s="218"/>
      <c r="GY196" s="218"/>
      <c r="GZ196" s="218"/>
      <c r="HA196" s="218"/>
      <c r="HB196" s="218"/>
      <c r="HC196" s="218"/>
      <c r="HD196" s="218"/>
      <c r="HE196" s="218"/>
      <c r="HF196" s="218"/>
      <c r="HG196" s="218"/>
      <c r="HH196" s="218"/>
      <c r="HI196" s="218"/>
      <c r="HJ196" s="218"/>
      <c r="HK196" s="218"/>
      <c r="HL196" s="218"/>
    </row>
    <row r="197" spans="1:220" x14ac:dyDescent="0.3">
      <c r="A197" s="211"/>
      <c r="FN197" s="218"/>
      <c r="GP197" s="218"/>
      <c r="GQ197" s="218"/>
      <c r="GR197" s="218"/>
      <c r="GS197" s="218"/>
      <c r="GT197" s="218"/>
      <c r="GU197" s="218"/>
      <c r="GV197" s="218"/>
      <c r="GW197" s="218"/>
      <c r="GX197" s="218"/>
      <c r="GY197" s="218"/>
      <c r="GZ197" s="218"/>
      <c r="HA197" s="218"/>
      <c r="HB197" s="218"/>
      <c r="HC197" s="218"/>
      <c r="HD197" s="218"/>
      <c r="HE197" s="218"/>
      <c r="HF197" s="218"/>
      <c r="HG197" s="218"/>
      <c r="HH197" s="218"/>
      <c r="HI197" s="218"/>
      <c r="HJ197" s="218"/>
      <c r="HK197" s="218"/>
      <c r="HL197" s="218"/>
    </row>
    <row r="198" spans="1:220" x14ac:dyDescent="0.3">
      <c r="A198" s="211"/>
      <c r="FN198" s="218"/>
      <c r="GP198" s="218"/>
      <c r="GQ198" s="218"/>
      <c r="GR198" s="218"/>
      <c r="GS198" s="218"/>
      <c r="GT198" s="218"/>
      <c r="GU198" s="218"/>
      <c r="GV198" s="218"/>
      <c r="GW198" s="218"/>
      <c r="GX198" s="218"/>
      <c r="GY198" s="218"/>
      <c r="GZ198" s="218"/>
      <c r="HA198" s="218"/>
      <c r="HB198" s="218"/>
      <c r="HC198" s="218"/>
      <c r="HD198" s="218"/>
      <c r="HE198" s="218"/>
      <c r="HF198" s="218"/>
      <c r="HG198" s="218"/>
      <c r="HH198" s="218"/>
      <c r="HI198" s="218"/>
      <c r="HJ198" s="218"/>
      <c r="HK198" s="218"/>
      <c r="HL198" s="218"/>
    </row>
    <row r="199" spans="1:220" x14ac:dyDescent="0.3">
      <c r="A199" s="211"/>
      <c r="FN199" s="218"/>
      <c r="GP199" s="218"/>
      <c r="GQ199" s="218"/>
      <c r="GR199" s="218"/>
      <c r="GS199" s="218"/>
      <c r="GT199" s="218"/>
      <c r="GU199" s="218"/>
      <c r="GV199" s="218"/>
      <c r="GW199" s="218"/>
      <c r="GX199" s="218"/>
      <c r="GY199" s="218"/>
      <c r="GZ199" s="218"/>
      <c r="HA199" s="218"/>
      <c r="HB199" s="218"/>
      <c r="HC199" s="218"/>
      <c r="HD199" s="218"/>
      <c r="HE199" s="218"/>
      <c r="HF199" s="218"/>
      <c r="HG199" s="218"/>
      <c r="HH199" s="218"/>
      <c r="HI199" s="218"/>
      <c r="HJ199" s="218"/>
      <c r="HK199" s="218"/>
      <c r="HL199" s="218"/>
    </row>
    <row r="200" spans="1:220" x14ac:dyDescent="0.3">
      <c r="A200" s="211"/>
      <c r="FN200" s="218"/>
      <c r="GP200" s="218"/>
      <c r="GQ200" s="218"/>
      <c r="GR200" s="218"/>
      <c r="GS200" s="218"/>
      <c r="GT200" s="218"/>
      <c r="GU200" s="218"/>
      <c r="GV200" s="218"/>
      <c r="GW200" s="218"/>
      <c r="GX200" s="218"/>
      <c r="GY200" s="218"/>
      <c r="GZ200" s="218"/>
      <c r="HA200" s="218"/>
      <c r="HB200" s="218"/>
      <c r="HC200" s="218"/>
      <c r="HD200" s="218"/>
      <c r="HE200" s="218"/>
      <c r="HF200" s="218"/>
      <c r="HG200" s="218"/>
      <c r="HH200" s="218"/>
      <c r="HI200" s="218"/>
      <c r="HJ200" s="218"/>
      <c r="HK200" s="218"/>
      <c r="HL200" s="218"/>
    </row>
    <row r="201" spans="1:220" x14ac:dyDescent="0.3">
      <c r="A201" s="211"/>
      <c r="FN201" s="218"/>
      <c r="GP201" s="218"/>
      <c r="GQ201" s="218"/>
      <c r="GR201" s="218"/>
      <c r="GS201" s="218"/>
      <c r="GT201" s="218"/>
      <c r="GU201" s="218"/>
      <c r="GV201" s="218"/>
      <c r="GW201" s="218"/>
      <c r="GX201" s="218"/>
      <c r="GY201" s="218"/>
      <c r="GZ201" s="218"/>
      <c r="HA201" s="218"/>
      <c r="HB201" s="218"/>
      <c r="HC201" s="218"/>
      <c r="HD201" s="218"/>
      <c r="HE201" s="218"/>
      <c r="HF201" s="218"/>
      <c r="HG201" s="218"/>
      <c r="HH201" s="218"/>
      <c r="HI201" s="218"/>
      <c r="HJ201" s="218"/>
      <c r="HK201" s="218"/>
      <c r="HL201" s="218"/>
    </row>
    <row r="202" spans="1:220" x14ac:dyDescent="0.3">
      <c r="A202" s="211"/>
      <c r="FN202" s="218"/>
      <c r="GP202" s="218"/>
      <c r="GQ202" s="218"/>
      <c r="GR202" s="218"/>
      <c r="GS202" s="218"/>
      <c r="GT202" s="218"/>
      <c r="GU202" s="218"/>
      <c r="GV202" s="218"/>
      <c r="GW202" s="218"/>
      <c r="GX202" s="218"/>
      <c r="GY202" s="218"/>
      <c r="GZ202" s="218"/>
      <c r="HA202" s="218"/>
      <c r="HB202" s="218"/>
      <c r="HC202" s="218"/>
      <c r="HD202" s="218"/>
      <c r="HE202" s="218"/>
      <c r="HF202" s="218"/>
      <c r="HG202" s="218"/>
      <c r="HH202" s="218"/>
      <c r="HI202" s="218"/>
      <c r="HJ202" s="218"/>
      <c r="HK202" s="218"/>
      <c r="HL202" s="218"/>
    </row>
    <row r="203" spans="1:220" x14ac:dyDescent="0.3">
      <c r="A203" s="211"/>
      <c r="FN203" s="218"/>
      <c r="GP203" s="218"/>
      <c r="GQ203" s="218"/>
      <c r="GR203" s="218"/>
      <c r="GS203" s="218"/>
      <c r="GT203" s="218"/>
      <c r="GU203" s="218"/>
      <c r="GV203" s="218"/>
      <c r="GW203" s="218"/>
      <c r="GX203" s="218"/>
      <c r="GY203" s="218"/>
      <c r="GZ203" s="218"/>
      <c r="HA203" s="218"/>
      <c r="HB203" s="218"/>
      <c r="HC203" s="218"/>
      <c r="HD203" s="218"/>
      <c r="HE203" s="218"/>
      <c r="HF203" s="218"/>
      <c r="HG203" s="218"/>
      <c r="HH203" s="218"/>
      <c r="HI203" s="218"/>
      <c r="HJ203" s="218"/>
      <c r="HK203" s="218"/>
      <c r="HL203" s="218"/>
    </row>
    <row r="204" spans="1:220" x14ac:dyDescent="0.3">
      <c r="A204" s="211"/>
      <c r="FN204" s="218"/>
      <c r="GP204" s="218"/>
      <c r="GQ204" s="218"/>
      <c r="GR204" s="218"/>
      <c r="GS204" s="218"/>
      <c r="GT204" s="218"/>
      <c r="GU204" s="218"/>
      <c r="GV204" s="218"/>
      <c r="GW204" s="218"/>
      <c r="GX204" s="218"/>
      <c r="GY204" s="218"/>
      <c r="GZ204" s="218"/>
      <c r="HA204" s="218"/>
      <c r="HB204" s="218"/>
      <c r="HC204" s="218"/>
      <c r="HD204" s="218"/>
      <c r="HE204" s="218"/>
      <c r="HF204" s="218"/>
      <c r="HG204" s="218"/>
      <c r="HH204" s="218"/>
      <c r="HI204" s="218"/>
      <c r="HJ204" s="218"/>
      <c r="HK204" s="218"/>
      <c r="HL204" s="218"/>
    </row>
    <row r="205" spans="1:220" x14ac:dyDescent="0.3">
      <c r="A205" s="211"/>
      <c r="FN205" s="218"/>
      <c r="GP205" s="218"/>
      <c r="GQ205" s="218"/>
      <c r="GR205" s="218"/>
      <c r="GS205" s="218"/>
      <c r="GT205" s="218"/>
      <c r="GU205" s="218"/>
      <c r="GV205" s="218"/>
      <c r="GW205" s="218"/>
      <c r="GX205" s="218"/>
      <c r="GY205" s="218"/>
      <c r="GZ205" s="218"/>
      <c r="HA205" s="218"/>
      <c r="HB205" s="218"/>
      <c r="HC205" s="218"/>
      <c r="HD205" s="218"/>
      <c r="HE205" s="218"/>
      <c r="HF205" s="218"/>
      <c r="HG205" s="218"/>
      <c r="HH205" s="218"/>
      <c r="HI205" s="218"/>
      <c r="HJ205" s="218"/>
      <c r="HK205" s="218"/>
      <c r="HL205" s="218"/>
    </row>
    <row r="206" spans="1:220" x14ac:dyDescent="0.3">
      <c r="A206" s="211"/>
      <c r="FN206" s="218"/>
      <c r="GP206" s="218"/>
      <c r="GQ206" s="218"/>
      <c r="GR206" s="218"/>
      <c r="GS206" s="218"/>
      <c r="GT206" s="218"/>
      <c r="GU206" s="218"/>
      <c r="GV206" s="218"/>
      <c r="GW206" s="218"/>
      <c r="GX206" s="218"/>
      <c r="GY206" s="218"/>
      <c r="GZ206" s="218"/>
      <c r="HA206" s="218"/>
      <c r="HB206" s="218"/>
      <c r="HC206" s="218"/>
      <c r="HD206" s="218"/>
      <c r="HE206" s="218"/>
      <c r="HF206" s="218"/>
      <c r="HG206" s="218"/>
      <c r="HH206" s="218"/>
      <c r="HI206" s="218"/>
      <c r="HJ206" s="218"/>
      <c r="HK206" s="218"/>
      <c r="HL206" s="218"/>
    </row>
    <row r="207" spans="1:220" x14ac:dyDescent="0.3">
      <c r="A207" s="211"/>
      <c r="FN207" s="218"/>
      <c r="GP207" s="218"/>
      <c r="GQ207" s="218"/>
      <c r="GR207" s="218"/>
      <c r="GS207" s="218"/>
      <c r="GT207" s="218"/>
      <c r="GU207" s="218"/>
      <c r="GV207" s="218"/>
      <c r="GW207" s="218"/>
      <c r="GX207" s="218"/>
      <c r="GY207" s="218"/>
      <c r="GZ207" s="218"/>
      <c r="HA207" s="218"/>
      <c r="HB207" s="218"/>
      <c r="HC207" s="218"/>
      <c r="HD207" s="218"/>
      <c r="HE207" s="218"/>
      <c r="HF207" s="218"/>
      <c r="HG207" s="218"/>
      <c r="HH207" s="218"/>
      <c r="HI207" s="218"/>
      <c r="HJ207" s="218"/>
      <c r="HK207" s="218"/>
      <c r="HL207" s="218"/>
    </row>
    <row r="208" spans="1:220" x14ac:dyDescent="0.3">
      <c r="A208" s="211"/>
      <c r="FN208" s="218"/>
      <c r="GP208" s="218"/>
      <c r="GQ208" s="218"/>
      <c r="GR208" s="218"/>
      <c r="GS208" s="218"/>
      <c r="GT208" s="218"/>
      <c r="GU208" s="218"/>
      <c r="GV208" s="218"/>
      <c r="GW208" s="218"/>
      <c r="GX208" s="218"/>
      <c r="GY208" s="218"/>
      <c r="GZ208" s="218"/>
      <c r="HA208" s="218"/>
      <c r="HB208" s="218"/>
      <c r="HC208" s="218"/>
      <c r="HD208" s="218"/>
      <c r="HE208" s="218"/>
      <c r="HF208" s="218"/>
      <c r="HG208" s="218"/>
      <c r="HH208" s="218"/>
      <c r="HI208" s="218"/>
      <c r="HJ208" s="218"/>
      <c r="HK208" s="218"/>
      <c r="HL208" s="218"/>
    </row>
    <row r="209" spans="1:220" x14ac:dyDescent="0.3">
      <c r="A209" s="211"/>
      <c r="FN209" s="218"/>
      <c r="GP209" s="218"/>
      <c r="GQ209" s="218"/>
      <c r="GR209" s="218"/>
      <c r="GS209" s="218"/>
      <c r="GT209" s="218"/>
      <c r="GU209" s="218"/>
      <c r="GV209" s="218"/>
      <c r="GW209" s="218"/>
      <c r="GX209" s="218"/>
      <c r="GY209" s="218"/>
      <c r="GZ209" s="218"/>
      <c r="HA209" s="218"/>
      <c r="HB209" s="218"/>
      <c r="HC209" s="218"/>
      <c r="HD209" s="218"/>
      <c r="HE209" s="218"/>
      <c r="HF209" s="218"/>
      <c r="HG209" s="218"/>
      <c r="HH209" s="218"/>
      <c r="HI209" s="218"/>
      <c r="HJ209" s="218"/>
      <c r="HK209" s="218"/>
      <c r="HL209" s="218"/>
    </row>
    <row r="210" spans="1:220" x14ac:dyDescent="0.3">
      <c r="A210" s="211"/>
      <c r="FN210" s="218"/>
      <c r="GP210" s="218"/>
      <c r="GQ210" s="218"/>
      <c r="GR210" s="218"/>
      <c r="GS210" s="218"/>
      <c r="GT210" s="218"/>
      <c r="GU210" s="218"/>
      <c r="GV210" s="218"/>
      <c r="GW210" s="218"/>
      <c r="GX210" s="218"/>
      <c r="GY210" s="218"/>
      <c r="GZ210" s="218"/>
      <c r="HA210" s="218"/>
      <c r="HB210" s="218"/>
      <c r="HC210" s="218"/>
      <c r="HD210" s="218"/>
      <c r="HE210" s="218"/>
      <c r="HF210" s="218"/>
      <c r="HG210" s="218"/>
      <c r="HH210" s="218"/>
      <c r="HI210" s="218"/>
      <c r="HJ210" s="218"/>
      <c r="HK210" s="218"/>
      <c r="HL210" s="218"/>
    </row>
    <row r="211" spans="1:220" x14ac:dyDescent="0.3">
      <c r="A211" s="211"/>
      <c r="FN211" s="218"/>
      <c r="GP211" s="218"/>
      <c r="GQ211" s="218"/>
      <c r="GR211" s="218"/>
      <c r="GS211" s="218"/>
      <c r="GT211" s="218"/>
      <c r="GU211" s="218"/>
      <c r="GV211" s="218"/>
      <c r="GW211" s="218"/>
      <c r="GX211" s="218"/>
      <c r="GY211" s="218"/>
      <c r="GZ211" s="218"/>
      <c r="HA211" s="218"/>
      <c r="HB211" s="218"/>
      <c r="HC211" s="218"/>
      <c r="HD211" s="218"/>
      <c r="HE211" s="218"/>
      <c r="HF211" s="218"/>
      <c r="HG211" s="218"/>
      <c r="HH211" s="218"/>
      <c r="HI211" s="218"/>
      <c r="HJ211" s="218"/>
      <c r="HK211" s="218"/>
      <c r="HL211" s="218"/>
    </row>
    <row r="212" spans="1:220" x14ac:dyDescent="0.3">
      <c r="A212" s="211"/>
      <c r="FN212" s="218"/>
      <c r="GP212" s="218"/>
      <c r="GQ212" s="218"/>
      <c r="GR212" s="218"/>
      <c r="GS212" s="218"/>
      <c r="GT212" s="218"/>
      <c r="GU212" s="218"/>
      <c r="GV212" s="218"/>
      <c r="GW212" s="218"/>
      <c r="GX212" s="218"/>
      <c r="GY212" s="218"/>
      <c r="GZ212" s="218"/>
      <c r="HA212" s="218"/>
      <c r="HB212" s="218"/>
      <c r="HC212" s="218"/>
      <c r="HD212" s="218"/>
      <c r="HE212" s="218"/>
      <c r="HF212" s="218"/>
      <c r="HG212" s="218"/>
      <c r="HH212" s="218"/>
      <c r="HI212" s="218"/>
      <c r="HJ212" s="218"/>
      <c r="HK212" s="218"/>
      <c r="HL212" s="218"/>
    </row>
    <row r="213" spans="1:220" x14ac:dyDescent="0.3">
      <c r="A213" s="211"/>
      <c r="FN213" s="218"/>
      <c r="GP213" s="218"/>
      <c r="GQ213" s="218"/>
      <c r="GR213" s="218"/>
      <c r="GS213" s="218"/>
      <c r="GT213" s="218"/>
      <c r="GU213" s="218"/>
      <c r="GV213" s="218"/>
      <c r="GW213" s="218"/>
      <c r="GX213" s="218"/>
      <c r="GY213" s="218"/>
      <c r="GZ213" s="218"/>
      <c r="HA213" s="218"/>
      <c r="HB213" s="218"/>
      <c r="HC213" s="218"/>
      <c r="HD213" s="218"/>
      <c r="HE213" s="218"/>
      <c r="HF213" s="218"/>
      <c r="HG213" s="218"/>
      <c r="HH213" s="218"/>
      <c r="HI213" s="218"/>
      <c r="HJ213" s="218"/>
      <c r="HK213" s="218"/>
      <c r="HL213" s="218"/>
    </row>
    <row r="214" spans="1:220" x14ac:dyDescent="0.3">
      <c r="A214" s="211"/>
      <c r="FN214" s="218"/>
      <c r="GP214" s="218"/>
      <c r="GQ214" s="218"/>
      <c r="GR214" s="218"/>
      <c r="GS214" s="218"/>
      <c r="GT214" s="218"/>
      <c r="GU214" s="218"/>
      <c r="GV214" s="218"/>
      <c r="GW214" s="218"/>
      <c r="GX214" s="218"/>
      <c r="GY214" s="218"/>
      <c r="GZ214" s="218"/>
      <c r="HA214" s="218"/>
      <c r="HB214" s="218"/>
      <c r="HC214" s="218"/>
      <c r="HD214" s="218"/>
      <c r="HE214" s="218"/>
      <c r="HF214" s="218"/>
      <c r="HG214" s="218"/>
      <c r="HH214" s="218"/>
      <c r="HI214" s="218"/>
      <c r="HJ214" s="218"/>
      <c r="HK214" s="218"/>
      <c r="HL214" s="218"/>
    </row>
    <row r="215" spans="1:220" x14ac:dyDescent="0.3">
      <c r="A215" s="211"/>
      <c r="FN215" s="218"/>
      <c r="GP215" s="218"/>
      <c r="GQ215" s="218"/>
      <c r="GR215" s="218"/>
      <c r="GS215" s="218"/>
      <c r="GT215" s="218"/>
      <c r="GU215" s="218"/>
      <c r="GV215" s="218"/>
      <c r="GW215" s="218"/>
      <c r="GX215" s="218"/>
      <c r="GY215" s="218"/>
      <c r="GZ215" s="218"/>
      <c r="HA215" s="218"/>
      <c r="HB215" s="218"/>
      <c r="HC215" s="218"/>
      <c r="HD215" s="218"/>
      <c r="HE215" s="218"/>
      <c r="HF215" s="218"/>
      <c r="HG215" s="218"/>
      <c r="HH215" s="218"/>
      <c r="HI215" s="218"/>
      <c r="HJ215" s="218"/>
      <c r="HK215" s="218"/>
      <c r="HL215" s="218"/>
    </row>
    <row r="216" spans="1:220" x14ac:dyDescent="0.3">
      <c r="A216" s="211"/>
      <c r="FN216" s="218"/>
      <c r="GP216" s="218"/>
      <c r="GQ216" s="218"/>
      <c r="GR216" s="218"/>
      <c r="GS216" s="218"/>
      <c r="GT216" s="218"/>
      <c r="GU216" s="218"/>
      <c r="GV216" s="218"/>
      <c r="GW216" s="218"/>
      <c r="GX216" s="218"/>
      <c r="GY216" s="218"/>
      <c r="GZ216" s="218"/>
      <c r="HA216" s="218"/>
      <c r="HB216" s="218"/>
      <c r="HC216" s="218"/>
      <c r="HD216" s="218"/>
      <c r="HE216" s="218"/>
      <c r="HF216" s="218"/>
      <c r="HG216" s="218"/>
      <c r="HH216" s="218"/>
      <c r="HI216" s="218"/>
      <c r="HJ216" s="218"/>
      <c r="HK216" s="218"/>
      <c r="HL216" s="218"/>
    </row>
    <row r="217" spans="1:220" x14ac:dyDescent="0.3">
      <c r="A217" s="211"/>
      <c r="FN217" s="218"/>
      <c r="GP217" s="218"/>
      <c r="GQ217" s="218"/>
      <c r="GR217" s="218"/>
      <c r="GS217" s="218"/>
      <c r="GT217" s="218"/>
      <c r="GU217" s="218"/>
      <c r="GV217" s="218"/>
      <c r="GW217" s="218"/>
      <c r="GX217" s="218"/>
      <c r="GY217" s="218"/>
      <c r="GZ217" s="218"/>
      <c r="HA217" s="218"/>
      <c r="HB217" s="218"/>
      <c r="HC217" s="218"/>
      <c r="HD217" s="218"/>
      <c r="HE217" s="218"/>
      <c r="HF217" s="218"/>
      <c r="HG217" s="218"/>
      <c r="HH217" s="218"/>
      <c r="HI217" s="218"/>
      <c r="HJ217" s="218"/>
      <c r="HK217" s="218"/>
      <c r="HL217" s="218"/>
    </row>
    <row r="218" spans="1:220" x14ac:dyDescent="0.3">
      <c r="A218" s="211"/>
      <c r="FN218" s="218"/>
      <c r="GP218" s="218"/>
      <c r="GQ218" s="218"/>
      <c r="GR218" s="218"/>
      <c r="GS218" s="218"/>
      <c r="GT218" s="218"/>
      <c r="GU218" s="218"/>
      <c r="GV218" s="218"/>
      <c r="GW218" s="218"/>
      <c r="GX218" s="218"/>
      <c r="GY218" s="218"/>
      <c r="GZ218" s="218"/>
      <c r="HA218" s="218"/>
      <c r="HB218" s="218"/>
      <c r="HC218" s="218"/>
      <c r="HD218" s="218"/>
      <c r="HE218" s="218"/>
      <c r="HF218" s="218"/>
      <c r="HG218" s="218"/>
      <c r="HH218" s="218"/>
      <c r="HI218" s="218"/>
      <c r="HJ218" s="218"/>
      <c r="HK218" s="218"/>
      <c r="HL218" s="218"/>
    </row>
    <row r="219" spans="1:220" x14ac:dyDescent="0.3">
      <c r="A219" s="211"/>
      <c r="FN219" s="218"/>
      <c r="GP219" s="218"/>
      <c r="GQ219" s="218"/>
      <c r="GR219" s="218"/>
      <c r="GS219" s="218"/>
      <c r="GT219" s="218"/>
      <c r="GU219" s="218"/>
      <c r="GV219" s="218"/>
      <c r="GW219" s="218"/>
      <c r="GX219" s="218"/>
      <c r="GY219" s="218"/>
      <c r="GZ219" s="218"/>
      <c r="HA219" s="218"/>
      <c r="HB219" s="218"/>
      <c r="HC219" s="218"/>
      <c r="HD219" s="218"/>
      <c r="HE219" s="218"/>
      <c r="HF219" s="218"/>
      <c r="HG219" s="218"/>
      <c r="HH219" s="218"/>
      <c r="HI219" s="218"/>
      <c r="HJ219" s="218"/>
      <c r="HK219" s="218"/>
      <c r="HL219" s="218"/>
    </row>
    <row r="220" spans="1:220" x14ac:dyDescent="0.3">
      <c r="A220" s="211"/>
      <c r="FN220" s="218"/>
      <c r="GP220" s="218"/>
      <c r="GQ220" s="218"/>
      <c r="GR220" s="218"/>
      <c r="GS220" s="218"/>
      <c r="GT220" s="218"/>
      <c r="GU220" s="218"/>
      <c r="GV220" s="218"/>
      <c r="GW220" s="218"/>
      <c r="GX220" s="218"/>
      <c r="GY220" s="218"/>
      <c r="GZ220" s="218"/>
      <c r="HA220" s="218"/>
      <c r="HB220" s="218"/>
      <c r="HC220" s="218"/>
      <c r="HD220" s="218"/>
      <c r="HE220" s="218"/>
      <c r="HF220" s="218"/>
      <c r="HG220" s="218"/>
      <c r="HH220" s="218"/>
      <c r="HI220" s="218"/>
      <c r="HJ220" s="218"/>
      <c r="HK220" s="218"/>
      <c r="HL220" s="218"/>
    </row>
    <row r="221" spans="1:220" x14ac:dyDescent="0.3">
      <c r="A221" s="211"/>
      <c r="FN221" s="218"/>
      <c r="GP221" s="218"/>
      <c r="GQ221" s="218"/>
      <c r="GR221" s="218"/>
      <c r="GS221" s="218"/>
      <c r="GT221" s="218"/>
      <c r="GU221" s="218"/>
      <c r="GV221" s="218"/>
      <c r="GW221" s="218"/>
      <c r="GX221" s="218"/>
      <c r="GY221" s="218"/>
      <c r="GZ221" s="218"/>
      <c r="HA221" s="218"/>
      <c r="HB221" s="218"/>
      <c r="HC221" s="218"/>
      <c r="HD221" s="218"/>
      <c r="HE221" s="218"/>
      <c r="HF221" s="218"/>
      <c r="HG221" s="218"/>
      <c r="HH221" s="218"/>
      <c r="HI221" s="218"/>
      <c r="HJ221" s="218"/>
      <c r="HK221" s="218"/>
      <c r="HL221" s="218"/>
    </row>
    <row r="222" spans="1:220" x14ac:dyDescent="0.3">
      <c r="A222" s="211"/>
      <c r="FN222" s="218"/>
      <c r="GP222" s="218"/>
      <c r="GQ222" s="218"/>
      <c r="GR222" s="218"/>
      <c r="GS222" s="218"/>
      <c r="GT222" s="218"/>
      <c r="GU222" s="218"/>
      <c r="GV222" s="218"/>
      <c r="GW222" s="218"/>
      <c r="GX222" s="218"/>
      <c r="GY222" s="218"/>
      <c r="GZ222" s="218"/>
      <c r="HA222" s="218"/>
      <c r="HB222" s="218"/>
      <c r="HC222" s="218"/>
      <c r="HD222" s="218"/>
      <c r="HE222" s="218"/>
      <c r="HF222" s="218"/>
      <c r="HG222" s="218"/>
      <c r="HH222" s="218"/>
      <c r="HI222" s="218"/>
      <c r="HJ222" s="218"/>
      <c r="HK222" s="218"/>
      <c r="HL222" s="218"/>
    </row>
    <row r="223" spans="1:220" x14ac:dyDescent="0.3">
      <c r="A223" s="211"/>
      <c r="FN223" s="218"/>
      <c r="GP223" s="218"/>
      <c r="GQ223" s="218"/>
      <c r="GR223" s="218"/>
      <c r="GS223" s="218"/>
      <c r="GT223" s="218"/>
      <c r="GU223" s="218"/>
      <c r="GV223" s="218"/>
      <c r="GW223" s="218"/>
      <c r="GX223" s="218"/>
      <c r="GY223" s="218"/>
      <c r="GZ223" s="218"/>
      <c r="HA223" s="218"/>
      <c r="HB223" s="218"/>
      <c r="HC223" s="218"/>
      <c r="HD223" s="218"/>
      <c r="HE223" s="218"/>
      <c r="HF223" s="218"/>
      <c r="HG223" s="218"/>
      <c r="HH223" s="218"/>
      <c r="HI223" s="218"/>
      <c r="HJ223" s="218"/>
      <c r="HK223" s="218"/>
      <c r="HL223" s="218"/>
    </row>
    <row r="224" spans="1:220" x14ac:dyDescent="0.3">
      <c r="A224" s="211"/>
      <c r="FN224" s="218"/>
      <c r="GP224" s="218"/>
      <c r="GQ224" s="218"/>
      <c r="GR224" s="218"/>
      <c r="GS224" s="218"/>
      <c r="GT224" s="218"/>
      <c r="GU224" s="218"/>
      <c r="GV224" s="218"/>
      <c r="GW224" s="218"/>
      <c r="GX224" s="218"/>
      <c r="GY224" s="218"/>
      <c r="GZ224" s="218"/>
      <c r="HA224" s="218"/>
      <c r="HB224" s="218"/>
      <c r="HC224" s="218"/>
      <c r="HD224" s="218"/>
      <c r="HE224" s="218"/>
      <c r="HF224" s="218"/>
      <c r="HG224" s="218"/>
      <c r="HH224" s="218"/>
      <c r="HI224" s="218"/>
      <c r="HJ224" s="218"/>
      <c r="HK224" s="218"/>
      <c r="HL224" s="218"/>
    </row>
    <row r="225" spans="1:220" x14ac:dyDescent="0.3">
      <c r="A225" s="211"/>
      <c r="FN225" s="218"/>
      <c r="GP225" s="218"/>
      <c r="GQ225" s="218"/>
      <c r="GR225" s="218"/>
      <c r="GS225" s="218"/>
      <c r="GT225" s="218"/>
      <c r="GU225" s="218"/>
      <c r="GV225" s="218"/>
      <c r="GW225" s="218"/>
      <c r="GX225" s="218"/>
      <c r="GY225" s="218"/>
      <c r="GZ225" s="218"/>
      <c r="HA225" s="218"/>
      <c r="HB225" s="218"/>
      <c r="HC225" s="218"/>
      <c r="HD225" s="218"/>
      <c r="HE225" s="218"/>
      <c r="HF225" s="218"/>
      <c r="HG225" s="218"/>
      <c r="HH225" s="218"/>
      <c r="HI225" s="218"/>
      <c r="HJ225" s="218"/>
      <c r="HK225" s="218"/>
      <c r="HL225" s="218"/>
    </row>
    <row r="226" spans="1:220" x14ac:dyDescent="0.3">
      <c r="A226" s="211"/>
      <c r="FN226" s="218"/>
      <c r="GP226" s="218"/>
      <c r="GQ226" s="218"/>
      <c r="GR226" s="218"/>
      <c r="GS226" s="218"/>
      <c r="GT226" s="218"/>
      <c r="GU226" s="218"/>
      <c r="GV226" s="218"/>
      <c r="GW226" s="218"/>
      <c r="GX226" s="218"/>
      <c r="GY226" s="218"/>
      <c r="GZ226" s="218"/>
      <c r="HA226" s="218"/>
      <c r="HB226" s="218"/>
      <c r="HC226" s="218"/>
      <c r="HD226" s="218"/>
      <c r="HE226" s="218"/>
      <c r="HF226" s="218"/>
      <c r="HG226" s="218"/>
      <c r="HH226" s="218"/>
      <c r="HI226" s="218"/>
      <c r="HJ226" s="218"/>
      <c r="HK226" s="218"/>
      <c r="HL226" s="218"/>
    </row>
    <row r="227" spans="1:220" x14ac:dyDescent="0.3">
      <c r="A227" s="211"/>
      <c r="FN227" s="218"/>
      <c r="GP227" s="218"/>
      <c r="GQ227" s="218"/>
      <c r="GR227" s="218"/>
      <c r="GS227" s="218"/>
      <c r="GT227" s="218"/>
      <c r="GU227" s="218"/>
      <c r="GV227" s="218"/>
      <c r="GW227" s="218"/>
      <c r="GX227" s="218"/>
      <c r="GY227" s="218"/>
      <c r="GZ227" s="218"/>
      <c r="HA227" s="218"/>
      <c r="HB227" s="218"/>
      <c r="HC227" s="218"/>
      <c r="HD227" s="218"/>
      <c r="HE227" s="218"/>
      <c r="HF227" s="218"/>
      <c r="HG227" s="218"/>
      <c r="HH227" s="218"/>
      <c r="HI227" s="218"/>
      <c r="HJ227" s="218"/>
      <c r="HK227" s="218"/>
      <c r="HL227" s="218"/>
    </row>
    <row r="228" spans="1:220" x14ac:dyDescent="0.3">
      <c r="A228" s="211"/>
      <c r="FN228" s="218"/>
      <c r="GP228" s="218"/>
      <c r="GQ228" s="218"/>
      <c r="GR228" s="218"/>
      <c r="GS228" s="218"/>
      <c r="GT228" s="218"/>
      <c r="GU228" s="218"/>
      <c r="GV228" s="218"/>
      <c r="GW228" s="218"/>
      <c r="GX228" s="218"/>
      <c r="GY228" s="218"/>
      <c r="GZ228" s="218"/>
      <c r="HA228" s="218"/>
      <c r="HB228" s="218"/>
      <c r="HC228" s="218"/>
      <c r="HD228" s="218"/>
      <c r="HE228" s="218"/>
      <c r="HF228" s="218"/>
      <c r="HG228" s="218"/>
      <c r="HH228" s="218"/>
      <c r="HI228" s="218"/>
      <c r="HJ228" s="218"/>
      <c r="HK228" s="218"/>
      <c r="HL228" s="218"/>
    </row>
    <row r="229" spans="1:220" x14ac:dyDescent="0.3">
      <c r="A229" s="211"/>
      <c r="FN229" s="218"/>
      <c r="GP229" s="218"/>
      <c r="GQ229" s="218"/>
      <c r="GR229" s="218"/>
      <c r="GS229" s="218"/>
      <c r="GT229" s="218"/>
      <c r="GU229" s="218"/>
      <c r="GV229" s="218"/>
      <c r="GW229" s="218"/>
      <c r="GX229" s="218"/>
      <c r="GY229" s="218"/>
      <c r="GZ229" s="218"/>
      <c r="HA229" s="218"/>
      <c r="HB229" s="218"/>
      <c r="HC229" s="218"/>
      <c r="HD229" s="218"/>
      <c r="HE229" s="218"/>
      <c r="HF229" s="218"/>
      <c r="HG229" s="218"/>
      <c r="HH229" s="218"/>
      <c r="HI229" s="218"/>
      <c r="HJ229" s="218"/>
      <c r="HK229" s="218"/>
      <c r="HL229" s="218"/>
    </row>
    <row r="230" spans="1:220" x14ac:dyDescent="0.3">
      <c r="A230" s="211"/>
      <c r="FN230" s="218"/>
      <c r="GP230" s="218"/>
      <c r="GQ230" s="218"/>
      <c r="GR230" s="218"/>
      <c r="GS230" s="218"/>
      <c r="GT230" s="218"/>
      <c r="GU230" s="218"/>
      <c r="GV230" s="218"/>
      <c r="GW230" s="218"/>
      <c r="GX230" s="218"/>
      <c r="GY230" s="218"/>
      <c r="GZ230" s="218"/>
      <c r="HA230" s="218"/>
      <c r="HB230" s="218"/>
      <c r="HC230" s="218"/>
      <c r="HD230" s="218"/>
      <c r="HE230" s="218"/>
      <c r="HF230" s="218"/>
      <c r="HG230" s="218"/>
      <c r="HH230" s="218"/>
      <c r="HI230" s="218"/>
      <c r="HJ230" s="218"/>
      <c r="HK230" s="218"/>
      <c r="HL230" s="218"/>
    </row>
    <row r="231" spans="1:220" x14ac:dyDescent="0.3">
      <c r="A231" s="211"/>
      <c r="FN231" s="218"/>
      <c r="GP231" s="218"/>
      <c r="GQ231" s="218"/>
      <c r="GR231" s="218"/>
      <c r="GS231" s="218"/>
      <c r="GT231" s="218"/>
      <c r="GU231" s="218"/>
      <c r="GV231" s="218"/>
      <c r="GW231" s="218"/>
      <c r="GX231" s="218"/>
      <c r="GY231" s="218"/>
      <c r="GZ231" s="218"/>
      <c r="HA231" s="218"/>
      <c r="HB231" s="218"/>
      <c r="HC231" s="218"/>
      <c r="HD231" s="218"/>
      <c r="HE231" s="218"/>
      <c r="HF231" s="218"/>
      <c r="HG231" s="218"/>
      <c r="HH231" s="218"/>
      <c r="HI231" s="218"/>
      <c r="HJ231" s="218"/>
      <c r="HK231" s="218"/>
      <c r="HL231" s="218"/>
    </row>
    <row r="232" spans="1:220" x14ac:dyDescent="0.3">
      <c r="A232" s="211"/>
      <c r="FN232" s="218"/>
      <c r="GP232" s="218"/>
      <c r="GQ232" s="218"/>
      <c r="GR232" s="218"/>
      <c r="GS232" s="218"/>
      <c r="GT232" s="218"/>
      <c r="GU232" s="218"/>
      <c r="GV232" s="218"/>
      <c r="GW232" s="218"/>
      <c r="GX232" s="218"/>
      <c r="GY232" s="218"/>
      <c r="GZ232" s="218"/>
      <c r="HA232" s="218"/>
      <c r="HB232" s="218"/>
      <c r="HC232" s="218"/>
      <c r="HD232" s="218"/>
      <c r="HE232" s="218"/>
      <c r="HF232" s="218"/>
      <c r="HG232" s="218"/>
      <c r="HH232" s="218"/>
      <c r="HI232" s="218"/>
      <c r="HJ232" s="218"/>
      <c r="HK232" s="218"/>
      <c r="HL232" s="218"/>
    </row>
    <row r="233" spans="1:220" x14ac:dyDescent="0.3">
      <c r="A233" s="211"/>
      <c r="FN233" s="218"/>
      <c r="GP233" s="218"/>
      <c r="GQ233" s="218"/>
      <c r="GR233" s="218"/>
      <c r="GS233" s="218"/>
      <c r="GT233" s="218"/>
      <c r="GU233" s="218"/>
      <c r="GV233" s="218"/>
      <c r="GW233" s="218"/>
      <c r="GX233" s="218"/>
      <c r="GY233" s="218"/>
      <c r="GZ233" s="218"/>
      <c r="HA233" s="218"/>
      <c r="HB233" s="218"/>
      <c r="HC233" s="218"/>
      <c r="HD233" s="218"/>
      <c r="HE233" s="218"/>
      <c r="HF233" s="218"/>
      <c r="HG233" s="218"/>
      <c r="HH233" s="218"/>
      <c r="HI233" s="218"/>
      <c r="HJ233" s="218"/>
      <c r="HK233" s="218"/>
      <c r="HL233" s="218"/>
    </row>
    <row r="234" spans="1:220" x14ac:dyDescent="0.3">
      <c r="A234" s="211"/>
      <c r="FN234" s="218"/>
      <c r="GP234" s="218"/>
      <c r="GQ234" s="218"/>
      <c r="GR234" s="218"/>
      <c r="GS234" s="218"/>
      <c r="GT234" s="218"/>
      <c r="GU234" s="218"/>
      <c r="GV234" s="218"/>
      <c r="GW234" s="218"/>
      <c r="GX234" s="218"/>
      <c r="GY234" s="218"/>
      <c r="GZ234" s="218"/>
      <c r="HA234" s="218"/>
      <c r="HB234" s="218"/>
      <c r="HC234" s="218"/>
      <c r="HD234" s="218"/>
      <c r="HE234" s="218"/>
      <c r="HF234" s="218"/>
      <c r="HG234" s="218"/>
      <c r="HH234" s="218"/>
      <c r="HI234" s="218"/>
      <c r="HJ234" s="218"/>
      <c r="HK234" s="218"/>
      <c r="HL234" s="218"/>
    </row>
    <row r="235" spans="1:220" x14ac:dyDescent="0.3">
      <c r="A235" s="211"/>
      <c r="FN235" s="218"/>
      <c r="GP235" s="218"/>
      <c r="GQ235" s="218"/>
      <c r="GR235" s="218"/>
      <c r="GS235" s="218"/>
      <c r="GT235" s="218"/>
      <c r="GU235" s="218"/>
      <c r="GV235" s="218"/>
      <c r="GW235" s="218"/>
      <c r="GX235" s="218"/>
      <c r="GY235" s="218"/>
      <c r="GZ235" s="218"/>
      <c r="HA235" s="218"/>
      <c r="HB235" s="218"/>
      <c r="HC235" s="218"/>
      <c r="HD235" s="218"/>
      <c r="HE235" s="218"/>
      <c r="HF235" s="218"/>
      <c r="HG235" s="218"/>
      <c r="HH235" s="218"/>
      <c r="HI235" s="218"/>
      <c r="HJ235" s="218"/>
      <c r="HK235" s="218"/>
      <c r="HL235" s="218"/>
    </row>
    <row r="236" spans="1:220" x14ac:dyDescent="0.3">
      <c r="A236" s="211"/>
      <c r="FN236" s="218"/>
      <c r="GP236" s="218"/>
      <c r="GQ236" s="218"/>
      <c r="GR236" s="218"/>
      <c r="GS236" s="218"/>
      <c r="GT236" s="218"/>
      <c r="GU236" s="218"/>
      <c r="GV236" s="218"/>
      <c r="GW236" s="218"/>
      <c r="GX236" s="218"/>
      <c r="GY236" s="218"/>
      <c r="GZ236" s="218"/>
      <c r="HA236" s="218"/>
      <c r="HB236" s="218"/>
      <c r="HC236" s="218"/>
      <c r="HD236" s="218"/>
      <c r="HE236" s="218"/>
      <c r="HF236" s="218"/>
      <c r="HG236" s="218"/>
      <c r="HH236" s="218"/>
      <c r="HI236" s="218"/>
      <c r="HJ236" s="218"/>
      <c r="HK236" s="218"/>
      <c r="HL236" s="218"/>
    </row>
    <row r="237" spans="1:220" x14ac:dyDescent="0.3">
      <c r="A237" s="211"/>
      <c r="FN237" s="218"/>
      <c r="GP237" s="218"/>
      <c r="GQ237" s="218"/>
      <c r="GR237" s="218"/>
      <c r="GS237" s="218"/>
      <c r="GT237" s="218"/>
      <c r="GU237" s="218"/>
      <c r="GV237" s="218"/>
      <c r="GW237" s="218"/>
      <c r="GX237" s="218"/>
      <c r="GY237" s="218"/>
      <c r="GZ237" s="218"/>
      <c r="HA237" s="218"/>
      <c r="HB237" s="218"/>
      <c r="HC237" s="218"/>
      <c r="HD237" s="218"/>
      <c r="HE237" s="218"/>
      <c r="HF237" s="218"/>
      <c r="HG237" s="218"/>
      <c r="HH237" s="218"/>
      <c r="HI237" s="218"/>
      <c r="HJ237" s="218"/>
      <c r="HK237" s="218"/>
      <c r="HL237" s="218"/>
    </row>
    <row r="238" spans="1:220" x14ac:dyDescent="0.3">
      <c r="A238" s="211"/>
      <c r="FN238" s="218"/>
      <c r="GP238" s="218"/>
      <c r="GQ238" s="218"/>
      <c r="GR238" s="218"/>
      <c r="GS238" s="218"/>
      <c r="GT238" s="218"/>
      <c r="GU238" s="218"/>
      <c r="GV238" s="218"/>
      <c r="GW238" s="218"/>
      <c r="GX238" s="218"/>
      <c r="GY238" s="218"/>
      <c r="GZ238" s="218"/>
      <c r="HA238" s="218"/>
      <c r="HB238" s="218"/>
      <c r="HC238" s="218"/>
      <c r="HD238" s="218"/>
      <c r="HE238" s="218"/>
      <c r="HF238" s="218"/>
      <c r="HG238" s="218"/>
      <c r="HH238" s="218"/>
      <c r="HI238" s="218"/>
      <c r="HJ238" s="218"/>
      <c r="HK238" s="218"/>
      <c r="HL238" s="218"/>
    </row>
    <row r="239" spans="1:220" x14ac:dyDescent="0.3">
      <c r="A239" s="211"/>
      <c r="FN239" s="218"/>
      <c r="GP239" s="218"/>
      <c r="GQ239" s="218"/>
      <c r="GR239" s="218"/>
      <c r="GS239" s="218"/>
      <c r="GT239" s="218"/>
      <c r="GU239" s="218"/>
      <c r="GV239" s="218"/>
      <c r="GW239" s="218"/>
      <c r="GX239" s="218"/>
      <c r="GY239" s="218"/>
      <c r="GZ239" s="218"/>
      <c r="HA239" s="218"/>
      <c r="HB239" s="218"/>
      <c r="HC239" s="218"/>
      <c r="HD239" s="218"/>
      <c r="HE239" s="218"/>
      <c r="HF239" s="218"/>
      <c r="HG239" s="218"/>
      <c r="HH239" s="218"/>
      <c r="HI239" s="218"/>
      <c r="HJ239" s="218"/>
      <c r="HK239" s="218"/>
      <c r="HL239" s="218"/>
    </row>
    <row r="240" spans="1:220" x14ac:dyDescent="0.3">
      <c r="A240" s="211"/>
      <c r="FN240" s="218"/>
      <c r="GP240" s="218"/>
      <c r="GQ240" s="218"/>
      <c r="GR240" s="218"/>
      <c r="GS240" s="218"/>
      <c r="GT240" s="218"/>
      <c r="GU240" s="218"/>
      <c r="GV240" s="218"/>
      <c r="GW240" s="218"/>
      <c r="GX240" s="218"/>
      <c r="GY240" s="218"/>
      <c r="GZ240" s="218"/>
      <c r="HA240" s="218"/>
      <c r="HB240" s="218"/>
      <c r="HC240" s="218"/>
      <c r="HD240" s="218"/>
      <c r="HE240" s="218"/>
      <c r="HF240" s="218"/>
      <c r="HG240" s="218"/>
      <c r="HH240" s="218"/>
      <c r="HI240" s="218"/>
      <c r="HJ240" s="218"/>
      <c r="HK240" s="218"/>
      <c r="HL240" s="218"/>
    </row>
    <row r="241" spans="1:220" x14ac:dyDescent="0.3">
      <c r="A241" s="211"/>
      <c r="FN241" s="218"/>
      <c r="GP241" s="218"/>
      <c r="GQ241" s="218"/>
      <c r="GR241" s="218"/>
      <c r="GS241" s="218"/>
      <c r="GT241" s="218"/>
      <c r="GU241" s="218"/>
      <c r="GV241" s="218"/>
      <c r="GW241" s="218"/>
      <c r="GX241" s="218"/>
      <c r="GY241" s="218"/>
      <c r="GZ241" s="218"/>
      <c r="HA241" s="218"/>
      <c r="HB241" s="218"/>
      <c r="HC241" s="218"/>
      <c r="HD241" s="218"/>
      <c r="HE241" s="218"/>
      <c r="HF241" s="218"/>
      <c r="HG241" s="218"/>
      <c r="HH241" s="218"/>
      <c r="HI241" s="218"/>
      <c r="HJ241" s="218"/>
      <c r="HK241" s="218"/>
      <c r="HL241" s="218"/>
    </row>
    <row r="242" spans="1:220" x14ac:dyDescent="0.3">
      <c r="A242" s="211"/>
      <c r="FN242" s="218"/>
      <c r="GP242" s="218"/>
      <c r="GQ242" s="218"/>
      <c r="GR242" s="218"/>
      <c r="GS242" s="218"/>
      <c r="GT242" s="218"/>
      <c r="GU242" s="218"/>
      <c r="GV242" s="218"/>
      <c r="GW242" s="218"/>
      <c r="GX242" s="218"/>
      <c r="GY242" s="218"/>
      <c r="GZ242" s="218"/>
      <c r="HA242" s="218"/>
      <c r="HB242" s="218"/>
      <c r="HC242" s="218"/>
      <c r="HD242" s="218"/>
      <c r="HE242" s="218"/>
      <c r="HF242" s="218"/>
      <c r="HG242" s="218"/>
      <c r="HH242" s="218"/>
      <c r="HI242" s="218"/>
      <c r="HJ242" s="218"/>
      <c r="HK242" s="218"/>
      <c r="HL242" s="218"/>
    </row>
    <row r="243" spans="1:220" x14ac:dyDescent="0.3">
      <c r="A243" s="211"/>
      <c r="FN243" s="218"/>
      <c r="GP243" s="218"/>
      <c r="GQ243" s="218"/>
      <c r="GR243" s="218"/>
      <c r="GS243" s="218"/>
      <c r="GT243" s="218"/>
      <c r="GU243" s="218"/>
      <c r="GV243" s="218"/>
      <c r="GW243" s="218"/>
      <c r="GX243" s="218"/>
      <c r="GY243" s="218"/>
      <c r="GZ243" s="218"/>
      <c r="HA243" s="218"/>
      <c r="HB243" s="218"/>
      <c r="HC243" s="218"/>
      <c r="HD243" s="218"/>
      <c r="HE243" s="218"/>
      <c r="HF243" s="218"/>
      <c r="HG243" s="218"/>
      <c r="HH243" s="218"/>
      <c r="HI243" s="218"/>
      <c r="HJ243" s="218"/>
      <c r="HK243" s="218"/>
      <c r="HL243" s="218"/>
    </row>
    <row r="244" spans="1:220" x14ac:dyDescent="0.3">
      <c r="A244" s="211"/>
      <c r="FN244" s="218"/>
      <c r="GP244" s="218"/>
      <c r="GQ244" s="218"/>
      <c r="GR244" s="218"/>
      <c r="GS244" s="218"/>
      <c r="GT244" s="218"/>
      <c r="GU244" s="218"/>
      <c r="GV244" s="218"/>
      <c r="GW244" s="218"/>
      <c r="GX244" s="218"/>
      <c r="GY244" s="218"/>
      <c r="GZ244" s="218"/>
      <c r="HA244" s="218"/>
      <c r="HB244" s="218"/>
      <c r="HC244" s="218"/>
      <c r="HD244" s="218"/>
      <c r="HE244" s="218"/>
      <c r="HF244" s="218"/>
      <c r="HG244" s="218"/>
      <c r="HH244" s="218"/>
      <c r="HI244" s="218"/>
      <c r="HJ244" s="218"/>
      <c r="HK244" s="218"/>
      <c r="HL244" s="218"/>
    </row>
    <row r="245" spans="1:220" x14ac:dyDescent="0.3">
      <c r="A245" s="211"/>
      <c r="FN245" s="218"/>
      <c r="GP245" s="218"/>
      <c r="GQ245" s="218"/>
      <c r="GR245" s="218"/>
      <c r="GS245" s="218"/>
      <c r="GT245" s="218"/>
      <c r="GU245" s="218"/>
      <c r="GV245" s="218"/>
      <c r="GW245" s="218"/>
      <c r="GX245" s="218"/>
      <c r="GY245" s="218"/>
      <c r="GZ245" s="218"/>
      <c r="HA245" s="218"/>
      <c r="HB245" s="218"/>
      <c r="HC245" s="218"/>
      <c r="HD245" s="218"/>
      <c r="HE245" s="218"/>
      <c r="HF245" s="218"/>
      <c r="HG245" s="218"/>
      <c r="HH245" s="218"/>
      <c r="HI245" s="218"/>
      <c r="HJ245" s="218"/>
      <c r="HK245" s="218"/>
      <c r="HL245" s="218"/>
    </row>
    <row r="246" spans="1:220" x14ac:dyDescent="0.3">
      <c r="A246" s="211"/>
      <c r="FN246" s="218"/>
      <c r="GP246" s="218"/>
      <c r="GQ246" s="218"/>
      <c r="GR246" s="218"/>
      <c r="GS246" s="218"/>
      <c r="GT246" s="218"/>
      <c r="GU246" s="218"/>
      <c r="GV246" s="218"/>
      <c r="GW246" s="218"/>
      <c r="GX246" s="218"/>
      <c r="GY246" s="218"/>
      <c r="GZ246" s="218"/>
      <c r="HA246" s="218"/>
      <c r="HB246" s="218"/>
      <c r="HC246" s="218"/>
      <c r="HD246" s="218"/>
      <c r="HE246" s="218"/>
      <c r="HF246" s="218"/>
      <c r="HG246" s="218"/>
      <c r="HH246" s="218"/>
      <c r="HI246" s="218"/>
      <c r="HJ246" s="218"/>
      <c r="HK246" s="218"/>
      <c r="HL246" s="218"/>
    </row>
    <row r="247" spans="1:220" x14ac:dyDescent="0.3">
      <c r="A247" s="211"/>
      <c r="FN247" s="218"/>
      <c r="GP247" s="218"/>
      <c r="GQ247" s="218"/>
      <c r="GR247" s="218"/>
      <c r="GS247" s="218"/>
      <c r="GT247" s="218"/>
      <c r="GU247" s="218"/>
      <c r="GV247" s="218"/>
      <c r="GW247" s="218"/>
      <c r="GX247" s="218"/>
      <c r="GY247" s="218"/>
      <c r="GZ247" s="218"/>
      <c r="HA247" s="218"/>
      <c r="HB247" s="218"/>
      <c r="HC247" s="218"/>
      <c r="HD247" s="218"/>
      <c r="HE247" s="218"/>
      <c r="HF247" s="218"/>
      <c r="HG247" s="218"/>
      <c r="HH247" s="218"/>
      <c r="HI247" s="218"/>
      <c r="HJ247" s="218"/>
      <c r="HK247" s="218"/>
      <c r="HL247" s="218"/>
    </row>
    <row r="248" spans="1:220" x14ac:dyDescent="0.3">
      <c r="A248" s="211"/>
      <c r="FN248" s="218"/>
      <c r="GP248" s="218"/>
      <c r="GQ248" s="218"/>
      <c r="GR248" s="218"/>
      <c r="GS248" s="218"/>
      <c r="GT248" s="218"/>
      <c r="GU248" s="218"/>
      <c r="GV248" s="218"/>
      <c r="GW248" s="218"/>
      <c r="GX248" s="218"/>
      <c r="GY248" s="218"/>
      <c r="GZ248" s="218"/>
      <c r="HA248" s="218"/>
      <c r="HB248" s="218"/>
      <c r="HC248" s="218"/>
      <c r="HD248" s="218"/>
      <c r="HE248" s="218"/>
      <c r="HF248" s="218"/>
      <c r="HG248" s="218"/>
      <c r="HH248" s="218"/>
      <c r="HI248" s="218"/>
      <c r="HJ248" s="218"/>
      <c r="HK248" s="218"/>
      <c r="HL248" s="218"/>
    </row>
    <row r="249" spans="1:220" x14ac:dyDescent="0.3">
      <c r="A249" s="211"/>
      <c r="FN249" s="218"/>
      <c r="GP249" s="218"/>
      <c r="GQ249" s="218"/>
      <c r="GR249" s="218"/>
      <c r="GS249" s="218"/>
      <c r="GT249" s="218"/>
      <c r="GU249" s="218"/>
      <c r="GV249" s="218"/>
      <c r="GW249" s="218"/>
      <c r="GX249" s="218"/>
      <c r="GY249" s="218"/>
      <c r="GZ249" s="218"/>
      <c r="HA249" s="218"/>
      <c r="HB249" s="218"/>
      <c r="HC249" s="218"/>
      <c r="HD249" s="218"/>
      <c r="HE249" s="218"/>
      <c r="HF249" s="218"/>
      <c r="HG249" s="218"/>
      <c r="HH249" s="218"/>
      <c r="HI249" s="218"/>
      <c r="HJ249" s="218"/>
      <c r="HK249" s="218"/>
      <c r="HL249" s="218"/>
    </row>
    <row r="250" spans="1:220" x14ac:dyDescent="0.3">
      <c r="A250" s="211"/>
      <c r="FN250" s="218"/>
      <c r="GP250" s="218"/>
      <c r="GQ250" s="218"/>
      <c r="GR250" s="218"/>
      <c r="GS250" s="218"/>
      <c r="GT250" s="218"/>
      <c r="GU250" s="218"/>
      <c r="GV250" s="218"/>
      <c r="GW250" s="218"/>
      <c r="GX250" s="218"/>
      <c r="GY250" s="218"/>
      <c r="GZ250" s="218"/>
      <c r="HA250" s="218"/>
      <c r="HB250" s="218"/>
      <c r="HC250" s="218"/>
      <c r="HD250" s="218"/>
      <c r="HE250" s="218"/>
      <c r="HF250" s="218"/>
      <c r="HG250" s="218"/>
      <c r="HH250" s="218"/>
      <c r="HI250" s="218"/>
      <c r="HJ250" s="218"/>
      <c r="HK250" s="218"/>
      <c r="HL250" s="218"/>
    </row>
    <row r="251" spans="1:220" x14ac:dyDescent="0.3">
      <c r="A251" s="211"/>
      <c r="FN251" s="218"/>
      <c r="GP251" s="218"/>
      <c r="GQ251" s="218"/>
      <c r="GR251" s="218"/>
      <c r="GS251" s="218"/>
      <c r="GT251" s="218"/>
      <c r="GU251" s="218"/>
      <c r="GV251" s="218"/>
      <c r="GW251" s="218"/>
      <c r="GX251" s="218"/>
      <c r="GY251" s="218"/>
      <c r="GZ251" s="218"/>
      <c r="HA251" s="218"/>
      <c r="HB251" s="218"/>
      <c r="HC251" s="218"/>
      <c r="HD251" s="218"/>
      <c r="HE251" s="218"/>
      <c r="HF251" s="218"/>
      <c r="HG251" s="218"/>
      <c r="HH251" s="218"/>
      <c r="HI251" s="218"/>
      <c r="HJ251" s="218"/>
      <c r="HK251" s="218"/>
      <c r="HL251" s="218"/>
    </row>
    <row r="252" spans="1:220" x14ac:dyDescent="0.3">
      <c r="A252" s="211"/>
      <c r="FN252" s="218"/>
      <c r="GP252" s="218"/>
      <c r="GQ252" s="218"/>
      <c r="GR252" s="218"/>
      <c r="GS252" s="218"/>
      <c r="GT252" s="218"/>
      <c r="GU252" s="218"/>
      <c r="GV252" s="218"/>
      <c r="GW252" s="218"/>
      <c r="GX252" s="218"/>
      <c r="GY252" s="218"/>
      <c r="GZ252" s="218"/>
      <c r="HA252" s="218"/>
      <c r="HB252" s="218"/>
      <c r="HC252" s="218"/>
      <c r="HD252" s="218"/>
      <c r="HE252" s="218"/>
      <c r="HF252" s="218"/>
      <c r="HG252" s="218"/>
      <c r="HH252" s="218"/>
      <c r="HI252" s="218"/>
      <c r="HJ252" s="218"/>
      <c r="HK252" s="218"/>
      <c r="HL252" s="218"/>
    </row>
    <row r="253" spans="1:220" x14ac:dyDescent="0.3">
      <c r="A253" s="211"/>
      <c r="FN253" s="218"/>
      <c r="GP253" s="218"/>
      <c r="GQ253" s="218"/>
      <c r="GR253" s="218"/>
      <c r="GS253" s="218"/>
      <c r="GT253" s="218"/>
      <c r="GU253" s="218"/>
      <c r="GV253" s="218"/>
      <c r="GW253" s="218"/>
      <c r="GX253" s="218"/>
      <c r="GY253" s="218"/>
      <c r="GZ253" s="218"/>
      <c r="HA253" s="218"/>
      <c r="HB253" s="218"/>
      <c r="HC253" s="218"/>
      <c r="HD253" s="218"/>
      <c r="HE253" s="218"/>
      <c r="HF253" s="218"/>
      <c r="HG253" s="218"/>
      <c r="HH253" s="218"/>
      <c r="HI253" s="218"/>
      <c r="HJ253" s="218"/>
      <c r="HK253" s="218"/>
      <c r="HL253" s="218"/>
    </row>
    <row r="254" spans="1:220" x14ac:dyDescent="0.3">
      <c r="A254" s="211"/>
      <c r="FN254" s="218"/>
      <c r="GP254" s="218"/>
      <c r="GQ254" s="218"/>
      <c r="GR254" s="218"/>
      <c r="GS254" s="218"/>
      <c r="GT254" s="218"/>
      <c r="GU254" s="218"/>
      <c r="GV254" s="218"/>
      <c r="GW254" s="218"/>
      <c r="GX254" s="218"/>
      <c r="GY254" s="218"/>
      <c r="GZ254" s="218"/>
      <c r="HA254" s="218"/>
      <c r="HB254" s="218"/>
      <c r="HC254" s="218"/>
      <c r="HD254" s="218"/>
      <c r="HE254" s="218"/>
      <c r="HF254" s="218"/>
      <c r="HG254" s="218"/>
      <c r="HH254" s="218"/>
      <c r="HI254" s="218"/>
      <c r="HJ254" s="218"/>
      <c r="HK254" s="218"/>
      <c r="HL254" s="218"/>
    </row>
    <row r="255" spans="1:220" x14ac:dyDescent="0.3">
      <c r="A255" s="211"/>
      <c r="FN255" s="218"/>
      <c r="GP255" s="218"/>
      <c r="GQ255" s="218"/>
      <c r="GR255" s="218"/>
      <c r="GS255" s="218"/>
      <c r="GT255" s="218"/>
      <c r="GU255" s="218"/>
      <c r="GV255" s="218"/>
      <c r="GW255" s="218"/>
      <c r="GX255" s="218"/>
      <c r="GY255" s="218"/>
      <c r="GZ255" s="218"/>
      <c r="HA255" s="218"/>
      <c r="HB255" s="218"/>
      <c r="HC255" s="218"/>
      <c r="HD255" s="218"/>
      <c r="HE255" s="218"/>
      <c r="HF255" s="218"/>
      <c r="HG255" s="218"/>
      <c r="HH255" s="218"/>
      <c r="HI255" s="218"/>
      <c r="HJ255" s="218"/>
      <c r="HK255" s="218"/>
      <c r="HL255" s="218"/>
    </row>
    <row r="256" spans="1:220" x14ac:dyDescent="0.3">
      <c r="A256" s="211"/>
      <c r="FN256" s="218"/>
      <c r="GP256" s="218"/>
      <c r="GQ256" s="218"/>
      <c r="GR256" s="218"/>
      <c r="GS256" s="218"/>
      <c r="GT256" s="218"/>
      <c r="GU256" s="218"/>
      <c r="GV256" s="218"/>
      <c r="GW256" s="218"/>
      <c r="GX256" s="218"/>
      <c r="GY256" s="218"/>
      <c r="GZ256" s="218"/>
      <c r="HA256" s="218"/>
      <c r="HB256" s="218"/>
      <c r="HC256" s="218"/>
      <c r="HD256" s="218"/>
      <c r="HE256" s="218"/>
      <c r="HF256" s="218"/>
      <c r="HG256" s="218"/>
      <c r="HH256" s="218"/>
      <c r="HI256" s="218"/>
      <c r="HJ256" s="218"/>
      <c r="HK256" s="218"/>
      <c r="HL256" s="218"/>
    </row>
    <row r="257" spans="1:220" x14ac:dyDescent="0.3">
      <c r="A257" s="211"/>
      <c r="FN257" s="218"/>
      <c r="GP257" s="218"/>
      <c r="GQ257" s="218"/>
      <c r="GR257" s="218"/>
      <c r="GS257" s="218"/>
      <c r="GT257" s="218"/>
      <c r="GU257" s="218"/>
      <c r="GV257" s="218"/>
      <c r="GW257" s="218"/>
      <c r="GX257" s="218"/>
      <c r="GY257" s="218"/>
      <c r="GZ257" s="218"/>
      <c r="HA257" s="218"/>
      <c r="HB257" s="218"/>
      <c r="HC257" s="218"/>
      <c r="HD257" s="218"/>
      <c r="HE257" s="218"/>
      <c r="HF257" s="218"/>
      <c r="HG257" s="218"/>
      <c r="HH257" s="218"/>
      <c r="HI257" s="218"/>
      <c r="HJ257" s="218"/>
      <c r="HK257" s="218"/>
      <c r="HL257" s="218"/>
    </row>
    <row r="258" spans="1:220" x14ac:dyDescent="0.3">
      <c r="A258" s="211"/>
      <c r="FN258" s="218"/>
      <c r="GP258" s="218"/>
      <c r="GQ258" s="218"/>
      <c r="GR258" s="218"/>
      <c r="GS258" s="218"/>
      <c r="GT258" s="218"/>
      <c r="GU258" s="218"/>
      <c r="GV258" s="218"/>
      <c r="GW258" s="218"/>
      <c r="GX258" s="218"/>
      <c r="GY258" s="218"/>
      <c r="GZ258" s="218"/>
      <c r="HA258" s="218"/>
      <c r="HB258" s="218"/>
      <c r="HC258" s="218"/>
      <c r="HD258" s="218"/>
      <c r="HE258" s="218"/>
      <c r="HF258" s="218"/>
      <c r="HG258" s="218"/>
      <c r="HH258" s="218"/>
      <c r="HI258" s="218"/>
      <c r="HJ258" s="218"/>
      <c r="HK258" s="218"/>
      <c r="HL258" s="218"/>
    </row>
    <row r="259" spans="1:220" x14ac:dyDescent="0.3">
      <c r="A259" s="211"/>
      <c r="FN259" s="218"/>
      <c r="GP259" s="218"/>
      <c r="GQ259" s="218"/>
      <c r="GR259" s="218"/>
      <c r="GS259" s="218"/>
      <c r="GT259" s="218"/>
      <c r="GU259" s="218"/>
      <c r="GV259" s="218"/>
      <c r="GW259" s="218"/>
      <c r="GX259" s="218"/>
      <c r="GY259" s="218"/>
      <c r="GZ259" s="218"/>
      <c r="HA259" s="218"/>
      <c r="HB259" s="218"/>
      <c r="HC259" s="218"/>
      <c r="HD259" s="218"/>
      <c r="HE259" s="218"/>
      <c r="HF259" s="218"/>
      <c r="HG259" s="218"/>
      <c r="HH259" s="218"/>
      <c r="HI259" s="218"/>
      <c r="HJ259" s="218"/>
      <c r="HK259" s="218"/>
      <c r="HL259" s="218"/>
    </row>
    <row r="260" spans="1:220" x14ac:dyDescent="0.3">
      <c r="A260" s="211"/>
      <c r="FN260" s="218"/>
      <c r="GP260" s="218"/>
      <c r="GQ260" s="218"/>
      <c r="GR260" s="218"/>
      <c r="GS260" s="218"/>
      <c r="GT260" s="218"/>
      <c r="GU260" s="218"/>
      <c r="GV260" s="218"/>
      <c r="GW260" s="218"/>
      <c r="GX260" s="218"/>
      <c r="GY260" s="218"/>
      <c r="GZ260" s="218"/>
      <c r="HA260" s="218"/>
      <c r="HB260" s="218"/>
      <c r="HC260" s="218"/>
      <c r="HD260" s="218"/>
      <c r="HE260" s="218"/>
      <c r="HF260" s="218"/>
      <c r="HG260" s="218"/>
      <c r="HH260" s="218"/>
      <c r="HI260" s="218"/>
      <c r="HJ260" s="218"/>
      <c r="HK260" s="218"/>
      <c r="HL260" s="218"/>
    </row>
    <row r="261" spans="1:220" x14ac:dyDescent="0.3">
      <c r="A261" s="211"/>
      <c r="FN261" s="218"/>
      <c r="GP261" s="218"/>
      <c r="GQ261" s="218"/>
      <c r="GR261" s="218"/>
      <c r="GS261" s="218"/>
      <c r="GT261" s="218"/>
      <c r="GU261" s="218"/>
      <c r="GV261" s="218"/>
      <c r="GW261" s="218"/>
      <c r="GX261" s="218"/>
      <c r="GY261" s="218"/>
      <c r="GZ261" s="218"/>
      <c r="HA261" s="218"/>
      <c r="HB261" s="218"/>
      <c r="HC261" s="218"/>
      <c r="HD261" s="218"/>
      <c r="HE261" s="218"/>
      <c r="HF261" s="218"/>
      <c r="HG261" s="218"/>
      <c r="HH261" s="218"/>
      <c r="HI261" s="218"/>
      <c r="HJ261" s="218"/>
      <c r="HK261" s="218"/>
      <c r="HL261" s="218"/>
    </row>
    <row r="262" spans="1:220" x14ac:dyDescent="0.3">
      <c r="A262" s="211"/>
      <c r="FN262" s="218"/>
      <c r="GP262" s="218"/>
      <c r="GQ262" s="218"/>
      <c r="GR262" s="218"/>
      <c r="GS262" s="218"/>
      <c r="GT262" s="218"/>
      <c r="GU262" s="218"/>
      <c r="GV262" s="218"/>
      <c r="GW262" s="218"/>
      <c r="GX262" s="218"/>
      <c r="GY262" s="218"/>
      <c r="GZ262" s="218"/>
      <c r="HA262" s="218"/>
      <c r="HB262" s="218"/>
      <c r="HC262" s="218"/>
      <c r="HD262" s="218"/>
      <c r="HE262" s="218"/>
      <c r="HF262" s="218"/>
      <c r="HG262" s="218"/>
      <c r="HH262" s="218"/>
      <c r="HI262" s="218"/>
      <c r="HJ262" s="218"/>
      <c r="HK262" s="218"/>
      <c r="HL262" s="218"/>
    </row>
    <row r="263" spans="1:220" x14ac:dyDescent="0.3">
      <c r="A263" s="211"/>
      <c r="FN263" s="218"/>
      <c r="GP263" s="218"/>
      <c r="GQ263" s="218"/>
      <c r="GR263" s="218"/>
      <c r="GS263" s="218"/>
      <c r="GT263" s="218"/>
      <c r="GU263" s="218"/>
      <c r="GV263" s="218"/>
      <c r="GW263" s="218"/>
      <c r="GX263" s="218"/>
      <c r="GY263" s="218"/>
      <c r="GZ263" s="218"/>
      <c r="HA263" s="218"/>
      <c r="HB263" s="218"/>
      <c r="HC263" s="218"/>
      <c r="HD263" s="218"/>
      <c r="HE263" s="218"/>
      <c r="HF263" s="218"/>
      <c r="HG263" s="218"/>
      <c r="HH263" s="218"/>
      <c r="HI263" s="218"/>
      <c r="HJ263" s="218"/>
      <c r="HK263" s="218"/>
      <c r="HL263" s="218"/>
    </row>
    <row r="264" spans="1:220" x14ac:dyDescent="0.3">
      <c r="A264" s="211"/>
      <c r="FN264" s="218"/>
      <c r="GP264" s="218"/>
      <c r="GQ264" s="218"/>
      <c r="GR264" s="218"/>
      <c r="GS264" s="218"/>
      <c r="GT264" s="218"/>
      <c r="GU264" s="218"/>
      <c r="GV264" s="218"/>
      <c r="GW264" s="218"/>
      <c r="GX264" s="218"/>
      <c r="GY264" s="218"/>
      <c r="GZ264" s="218"/>
      <c r="HA264" s="218"/>
      <c r="HB264" s="218"/>
      <c r="HC264" s="218"/>
      <c r="HD264" s="218"/>
      <c r="HE264" s="218"/>
      <c r="HF264" s="218"/>
      <c r="HG264" s="218"/>
      <c r="HH264" s="218"/>
      <c r="HI264" s="218"/>
      <c r="HJ264" s="218"/>
      <c r="HK264" s="218"/>
      <c r="HL264" s="218"/>
    </row>
    <row r="265" spans="1:220" x14ac:dyDescent="0.3">
      <c r="A265" s="211"/>
      <c r="FN265" s="218"/>
      <c r="GP265" s="218"/>
      <c r="GQ265" s="218"/>
      <c r="GR265" s="218"/>
      <c r="GS265" s="218"/>
      <c r="GT265" s="218"/>
      <c r="GU265" s="218"/>
      <c r="GV265" s="218"/>
      <c r="GW265" s="218"/>
      <c r="GX265" s="218"/>
      <c r="GY265" s="218"/>
      <c r="GZ265" s="218"/>
      <c r="HA265" s="218"/>
      <c r="HB265" s="218"/>
      <c r="HC265" s="218"/>
      <c r="HD265" s="218"/>
      <c r="HE265" s="218"/>
      <c r="HF265" s="218"/>
      <c r="HG265" s="218"/>
      <c r="HH265" s="218"/>
      <c r="HI265" s="218"/>
      <c r="HJ265" s="218"/>
      <c r="HK265" s="218"/>
      <c r="HL265" s="218"/>
    </row>
    <row r="266" spans="1:220" x14ac:dyDescent="0.3">
      <c r="A266" s="211"/>
      <c r="FN266" s="218"/>
      <c r="GP266" s="218"/>
      <c r="GQ266" s="218"/>
      <c r="GR266" s="218"/>
      <c r="GS266" s="218"/>
      <c r="GT266" s="218"/>
      <c r="GU266" s="218"/>
      <c r="GV266" s="218"/>
      <c r="GW266" s="218"/>
      <c r="GX266" s="218"/>
      <c r="GY266" s="218"/>
      <c r="GZ266" s="218"/>
      <c r="HA266" s="218"/>
      <c r="HB266" s="218"/>
      <c r="HC266" s="218"/>
      <c r="HD266" s="218"/>
      <c r="HE266" s="218"/>
      <c r="HF266" s="218"/>
      <c r="HG266" s="218"/>
      <c r="HH266" s="218"/>
      <c r="HI266" s="218"/>
      <c r="HJ266" s="218"/>
      <c r="HK266" s="218"/>
      <c r="HL266" s="218"/>
    </row>
    <row r="267" spans="1:220" x14ac:dyDescent="0.3">
      <c r="A267" s="211"/>
      <c r="FN267" s="218"/>
      <c r="GP267" s="218"/>
      <c r="GQ267" s="218"/>
      <c r="GR267" s="218"/>
      <c r="GS267" s="218"/>
      <c r="GT267" s="218"/>
      <c r="GU267" s="218"/>
      <c r="GV267" s="218"/>
      <c r="GW267" s="218"/>
      <c r="GX267" s="218"/>
      <c r="GY267" s="218"/>
      <c r="GZ267" s="218"/>
      <c r="HA267" s="218"/>
      <c r="HB267" s="218"/>
      <c r="HC267" s="218"/>
      <c r="HD267" s="218"/>
      <c r="HE267" s="218"/>
      <c r="HF267" s="218"/>
      <c r="HG267" s="218"/>
      <c r="HH267" s="218"/>
      <c r="HI267" s="218"/>
      <c r="HJ267" s="218"/>
      <c r="HK267" s="218"/>
      <c r="HL267" s="218"/>
    </row>
    <row r="268" spans="1:220" x14ac:dyDescent="0.3">
      <c r="A268" s="211"/>
      <c r="FN268" s="218"/>
      <c r="GP268" s="218"/>
      <c r="GQ268" s="218"/>
      <c r="GR268" s="218"/>
      <c r="GS268" s="218"/>
      <c r="GT268" s="218"/>
      <c r="GU268" s="218"/>
      <c r="GV268" s="218"/>
      <c r="GW268" s="218"/>
      <c r="GX268" s="218"/>
      <c r="GY268" s="218"/>
      <c r="GZ268" s="218"/>
      <c r="HA268" s="218"/>
      <c r="HB268" s="218"/>
      <c r="HC268" s="218"/>
      <c r="HD268" s="218"/>
      <c r="HE268" s="218"/>
      <c r="HF268" s="218"/>
      <c r="HG268" s="218"/>
      <c r="HH268" s="218"/>
      <c r="HI268" s="218"/>
      <c r="HJ268" s="218"/>
      <c r="HK268" s="218"/>
      <c r="HL268" s="218"/>
    </row>
    <row r="269" spans="1:220" x14ac:dyDescent="0.3">
      <c r="A269" s="211"/>
      <c r="FN269" s="218"/>
      <c r="GP269" s="218"/>
      <c r="GQ269" s="218"/>
      <c r="GR269" s="218"/>
      <c r="GS269" s="218"/>
      <c r="GT269" s="218"/>
      <c r="GU269" s="218"/>
      <c r="GV269" s="218"/>
      <c r="GW269" s="218"/>
      <c r="GX269" s="218"/>
      <c r="GY269" s="218"/>
      <c r="GZ269" s="218"/>
      <c r="HA269" s="218"/>
      <c r="HB269" s="218"/>
      <c r="HC269" s="218"/>
      <c r="HD269" s="218"/>
      <c r="HE269" s="218"/>
      <c r="HF269" s="218"/>
      <c r="HG269" s="218"/>
      <c r="HH269" s="218"/>
      <c r="HI269" s="218"/>
      <c r="HJ269" s="218"/>
      <c r="HK269" s="218"/>
      <c r="HL269" s="218"/>
    </row>
    <row r="270" spans="1:220" x14ac:dyDescent="0.3">
      <c r="A270" s="211"/>
      <c r="FN270" s="218"/>
      <c r="GP270" s="218"/>
      <c r="GQ270" s="218"/>
      <c r="GR270" s="218"/>
      <c r="GS270" s="218"/>
      <c r="GT270" s="218"/>
      <c r="GU270" s="218"/>
      <c r="GV270" s="218"/>
      <c r="GW270" s="218"/>
      <c r="GX270" s="218"/>
      <c r="GY270" s="218"/>
      <c r="GZ270" s="218"/>
      <c r="HA270" s="218"/>
      <c r="HB270" s="218"/>
      <c r="HC270" s="218"/>
      <c r="HD270" s="218"/>
      <c r="HE270" s="218"/>
      <c r="HF270" s="218"/>
      <c r="HG270" s="218"/>
      <c r="HH270" s="218"/>
      <c r="HI270" s="218"/>
      <c r="HJ270" s="218"/>
      <c r="HK270" s="218"/>
      <c r="HL270" s="218"/>
    </row>
    <row r="271" spans="1:220" x14ac:dyDescent="0.3">
      <c r="A271" s="211"/>
      <c r="FN271" s="218"/>
      <c r="GP271" s="218"/>
      <c r="GQ271" s="218"/>
      <c r="GR271" s="218"/>
      <c r="GS271" s="218"/>
      <c r="GT271" s="218"/>
      <c r="GU271" s="218"/>
      <c r="GV271" s="218"/>
      <c r="GW271" s="218"/>
      <c r="GX271" s="218"/>
      <c r="GY271" s="218"/>
      <c r="GZ271" s="218"/>
      <c r="HA271" s="218"/>
      <c r="HB271" s="218"/>
      <c r="HC271" s="218"/>
      <c r="HD271" s="218"/>
      <c r="HE271" s="218"/>
      <c r="HF271" s="218"/>
      <c r="HG271" s="218"/>
      <c r="HH271" s="218"/>
      <c r="HI271" s="218"/>
      <c r="HJ271" s="218"/>
      <c r="HK271" s="218"/>
      <c r="HL271" s="218"/>
    </row>
    <row r="272" spans="1:220" x14ac:dyDescent="0.3">
      <c r="A272" s="211"/>
      <c r="FN272" s="218"/>
      <c r="GP272" s="218"/>
      <c r="GQ272" s="218"/>
      <c r="GR272" s="218"/>
      <c r="GS272" s="218"/>
      <c r="GT272" s="218"/>
      <c r="GU272" s="218"/>
      <c r="GV272" s="218"/>
      <c r="GW272" s="218"/>
      <c r="GX272" s="218"/>
      <c r="GY272" s="218"/>
      <c r="GZ272" s="218"/>
      <c r="HA272" s="218"/>
      <c r="HB272" s="218"/>
      <c r="HC272" s="218"/>
      <c r="HD272" s="218"/>
      <c r="HE272" s="218"/>
      <c r="HF272" s="218"/>
      <c r="HG272" s="218"/>
      <c r="HH272" s="218"/>
      <c r="HI272" s="218"/>
      <c r="HJ272" s="218"/>
      <c r="HK272" s="218"/>
      <c r="HL272" s="218"/>
    </row>
    <row r="273" spans="1:220" x14ac:dyDescent="0.3">
      <c r="A273" s="211"/>
      <c r="FN273" s="218"/>
      <c r="GP273" s="218"/>
      <c r="GQ273" s="218"/>
      <c r="GR273" s="218"/>
      <c r="GS273" s="218"/>
      <c r="GT273" s="218"/>
      <c r="GU273" s="218"/>
      <c r="GV273" s="218"/>
      <c r="GW273" s="218"/>
      <c r="GX273" s="218"/>
      <c r="GY273" s="218"/>
      <c r="GZ273" s="218"/>
      <c r="HA273" s="218"/>
      <c r="HB273" s="218"/>
      <c r="HC273" s="218"/>
      <c r="HD273" s="218"/>
      <c r="HE273" s="218"/>
      <c r="HF273" s="218"/>
      <c r="HG273" s="218"/>
      <c r="HH273" s="218"/>
      <c r="HI273" s="218"/>
      <c r="HJ273" s="218"/>
      <c r="HK273" s="218"/>
      <c r="HL273" s="218"/>
    </row>
    <row r="274" spans="1:220" x14ac:dyDescent="0.3">
      <c r="A274" s="211"/>
      <c r="FN274" s="218"/>
      <c r="GP274" s="218"/>
      <c r="GQ274" s="218"/>
      <c r="GR274" s="218"/>
      <c r="GS274" s="218"/>
      <c r="GT274" s="218"/>
      <c r="GU274" s="218"/>
      <c r="GV274" s="218"/>
      <c r="GW274" s="218"/>
      <c r="GX274" s="218"/>
      <c r="GY274" s="218"/>
      <c r="GZ274" s="218"/>
      <c r="HA274" s="218"/>
      <c r="HB274" s="218"/>
      <c r="HC274" s="218"/>
      <c r="HD274" s="218"/>
      <c r="HE274" s="218"/>
      <c r="HF274" s="218"/>
      <c r="HG274" s="218"/>
      <c r="HH274" s="218"/>
      <c r="HI274" s="218"/>
      <c r="HJ274" s="218"/>
      <c r="HK274" s="218"/>
      <c r="HL274" s="218"/>
    </row>
    <row r="275" spans="1:220" x14ac:dyDescent="0.3">
      <c r="A275" s="211"/>
      <c r="FN275" s="218"/>
      <c r="GP275" s="218"/>
      <c r="GQ275" s="218"/>
      <c r="GR275" s="218"/>
      <c r="GS275" s="218"/>
      <c r="GT275" s="218"/>
      <c r="GU275" s="218"/>
      <c r="GV275" s="218"/>
      <c r="GW275" s="218"/>
      <c r="GX275" s="218"/>
      <c r="GY275" s="218"/>
      <c r="GZ275" s="218"/>
      <c r="HA275" s="218"/>
      <c r="HB275" s="218"/>
      <c r="HC275" s="218"/>
      <c r="HD275" s="218"/>
      <c r="HE275" s="218"/>
      <c r="HF275" s="218"/>
      <c r="HG275" s="218"/>
      <c r="HH275" s="218"/>
      <c r="HI275" s="218"/>
      <c r="HJ275" s="218"/>
      <c r="HK275" s="218"/>
      <c r="HL275" s="218"/>
    </row>
    <row r="276" spans="1:220" x14ac:dyDescent="0.3">
      <c r="A276" s="211"/>
      <c r="FN276" s="218"/>
      <c r="GP276" s="218"/>
      <c r="GQ276" s="218"/>
      <c r="GR276" s="218"/>
      <c r="GS276" s="218"/>
      <c r="GT276" s="218"/>
      <c r="GU276" s="218"/>
      <c r="GV276" s="218"/>
      <c r="GW276" s="218"/>
      <c r="GX276" s="218"/>
      <c r="GY276" s="218"/>
      <c r="GZ276" s="218"/>
      <c r="HA276" s="218"/>
      <c r="HB276" s="218"/>
      <c r="HC276" s="218"/>
      <c r="HD276" s="218"/>
      <c r="HE276" s="218"/>
      <c r="HF276" s="218"/>
      <c r="HG276" s="218"/>
      <c r="HH276" s="218"/>
      <c r="HI276" s="218"/>
      <c r="HJ276" s="218"/>
      <c r="HK276" s="218"/>
      <c r="HL276" s="218"/>
    </row>
    <row r="277" spans="1:220" x14ac:dyDescent="0.3">
      <c r="A277" s="211"/>
      <c r="FN277" s="218"/>
      <c r="GP277" s="218"/>
      <c r="GQ277" s="218"/>
      <c r="GR277" s="218"/>
      <c r="GS277" s="218"/>
      <c r="GT277" s="218"/>
      <c r="GU277" s="218"/>
      <c r="GV277" s="218"/>
      <c r="GW277" s="218"/>
      <c r="GX277" s="218"/>
      <c r="GY277" s="218"/>
      <c r="GZ277" s="218"/>
      <c r="HA277" s="218"/>
      <c r="HB277" s="218"/>
      <c r="HC277" s="218"/>
      <c r="HD277" s="218"/>
      <c r="HE277" s="218"/>
      <c r="HF277" s="218"/>
      <c r="HG277" s="218"/>
      <c r="HH277" s="218"/>
      <c r="HI277" s="218"/>
      <c r="HJ277" s="218"/>
      <c r="HK277" s="218"/>
      <c r="HL277" s="218"/>
    </row>
    <row r="278" spans="1:220" x14ac:dyDescent="0.3">
      <c r="A278" s="211"/>
      <c r="FN278" s="218"/>
      <c r="GP278" s="218"/>
      <c r="GQ278" s="218"/>
      <c r="GR278" s="218"/>
      <c r="GS278" s="218"/>
      <c r="GT278" s="218"/>
      <c r="GU278" s="218"/>
      <c r="GV278" s="218"/>
      <c r="GW278" s="218"/>
      <c r="GX278" s="218"/>
      <c r="GY278" s="218"/>
      <c r="GZ278" s="218"/>
      <c r="HA278" s="218"/>
      <c r="HB278" s="218"/>
      <c r="HC278" s="218"/>
      <c r="HD278" s="218"/>
      <c r="HE278" s="218"/>
      <c r="HF278" s="218"/>
      <c r="HG278" s="218"/>
      <c r="HH278" s="218"/>
      <c r="HI278" s="218"/>
      <c r="HJ278" s="218"/>
      <c r="HK278" s="218"/>
      <c r="HL278" s="218"/>
    </row>
    <row r="279" spans="1:220" x14ac:dyDescent="0.3">
      <c r="A279" s="211"/>
      <c r="FN279" s="218"/>
      <c r="GP279" s="218"/>
      <c r="GQ279" s="218"/>
      <c r="GR279" s="218"/>
      <c r="GS279" s="218"/>
      <c r="GT279" s="218"/>
      <c r="GU279" s="218"/>
      <c r="GV279" s="218"/>
      <c r="GW279" s="218"/>
      <c r="GX279" s="218"/>
      <c r="GY279" s="218"/>
      <c r="GZ279" s="218"/>
      <c r="HA279" s="218"/>
      <c r="HB279" s="218"/>
      <c r="HC279" s="218"/>
      <c r="HD279" s="218"/>
      <c r="HE279" s="218"/>
      <c r="HF279" s="218"/>
      <c r="HG279" s="218"/>
      <c r="HH279" s="218"/>
      <c r="HI279" s="218"/>
      <c r="HJ279" s="218"/>
      <c r="HK279" s="218"/>
      <c r="HL279" s="218"/>
    </row>
    <row r="280" spans="1:220" x14ac:dyDescent="0.3">
      <c r="A280" s="211"/>
      <c r="FN280" s="218"/>
      <c r="GP280" s="218"/>
      <c r="GQ280" s="218"/>
      <c r="GR280" s="218"/>
      <c r="GS280" s="218"/>
      <c r="GT280" s="218"/>
      <c r="GU280" s="218"/>
      <c r="GV280" s="218"/>
      <c r="GW280" s="218"/>
      <c r="GX280" s="218"/>
      <c r="GY280" s="218"/>
      <c r="GZ280" s="218"/>
      <c r="HA280" s="218"/>
      <c r="HB280" s="218"/>
      <c r="HC280" s="218"/>
      <c r="HD280" s="218"/>
      <c r="HE280" s="218"/>
      <c r="HF280" s="218"/>
      <c r="HG280" s="218"/>
      <c r="HH280" s="218"/>
      <c r="HI280" s="218"/>
      <c r="HJ280" s="218"/>
      <c r="HK280" s="218"/>
      <c r="HL280" s="218"/>
    </row>
    <row r="281" spans="1:220" x14ac:dyDescent="0.3">
      <c r="A281" s="211"/>
      <c r="FN281" s="218"/>
      <c r="GP281" s="218"/>
      <c r="GQ281" s="218"/>
      <c r="GR281" s="218"/>
      <c r="GS281" s="218"/>
      <c r="GT281" s="218"/>
      <c r="GU281" s="218"/>
      <c r="GV281" s="218"/>
      <c r="GW281" s="218"/>
      <c r="GX281" s="218"/>
      <c r="GY281" s="218"/>
      <c r="GZ281" s="218"/>
      <c r="HA281" s="218"/>
      <c r="HB281" s="218"/>
      <c r="HC281" s="218"/>
      <c r="HD281" s="218"/>
      <c r="HE281" s="218"/>
      <c r="HF281" s="218"/>
      <c r="HG281" s="218"/>
      <c r="HH281" s="218"/>
      <c r="HI281" s="218"/>
      <c r="HJ281" s="218"/>
      <c r="HK281" s="218"/>
      <c r="HL281" s="218"/>
    </row>
    <row r="282" spans="1:220" x14ac:dyDescent="0.3">
      <c r="A282" s="211"/>
      <c r="FN282" s="218"/>
      <c r="GP282" s="218"/>
      <c r="GQ282" s="218"/>
      <c r="GR282" s="218"/>
      <c r="GS282" s="218"/>
      <c r="GT282" s="218"/>
      <c r="GU282" s="218"/>
      <c r="GV282" s="218"/>
      <c r="GW282" s="218"/>
      <c r="GX282" s="218"/>
      <c r="GY282" s="218"/>
      <c r="GZ282" s="218"/>
      <c r="HA282" s="218"/>
      <c r="HB282" s="218"/>
      <c r="HC282" s="218"/>
      <c r="HD282" s="218"/>
      <c r="HE282" s="218"/>
      <c r="HF282" s="218"/>
      <c r="HG282" s="218"/>
      <c r="HH282" s="218"/>
      <c r="HI282" s="218"/>
      <c r="HJ282" s="218"/>
      <c r="HK282" s="218"/>
      <c r="HL282" s="218"/>
    </row>
    <row r="283" spans="1:220" x14ac:dyDescent="0.3">
      <c r="A283" s="211"/>
      <c r="FN283" s="218"/>
      <c r="GP283" s="218"/>
      <c r="GQ283" s="218"/>
      <c r="GR283" s="218"/>
      <c r="GS283" s="218"/>
      <c r="GT283" s="218"/>
      <c r="GU283" s="218"/>
      <c r="GV283" s="218"/>
      <c r="GW283" s="218"/>
      <c r="GX283" s="218"/>
      <c r="GY283" s="218"/>
      <c r="GZ283" s="218"/>
      <c r="HA283" s="218"/>
      <c r="HB283" s="218"/>
      <c r="HC283" s="218"/>
      <c r="HD283" s="218"/>
      <c r="HE283" s="218"/>
      <c r="HF283" s="218"/>
      <c r="HG283" s="218"/>
      <c r="HH283" s="218"/>
      <c r="HI283" s="218"/>
      <c r="HJ283" s="218"/>
      <c r="HK283" s="218"/>
      <c r="HL283" s="218"/>
    </row>
    <row r="284" spans="1:220" x14ac:dyDescent="0.3">
      <c r="A284" s="211"/>
      <c r="FN284" s="218"/>
      <c r="GP284" s="218"/>
      <c r="GQ284" s="218"/>
      <c r="GR284" s="218"/>
      <c r="GS284" s="218"/>
      <c r="GT284" s="218"/>
      <c r="GU284" s="218"/>
      <c r="GV284" s="218"/>
      <c r="GW284" s="218"/>
      <c r="GX284" s="218"/>
      <c r="GY284" s="218"/>
      <c r="GZ284" s="218"/>
      <c r="HA284" s="218"/>
      <c r="HB284" s="218"/>
      <c r="HC284" s="218"/>
      <c r="HD284" s="218"/>
      <c r="HE284" s="218"/>
      <c r="HF284" s="218"/>
      <c r="HG284" s="218"/>
      <c r="HH284" s="218"/>
      <c r="HI284" s="218"/>
      <c r="HJ284" s="218"/>
      <c r="HK284" s="218"/>
      <c r="HL284" s="218"/>
    </row>
    <row r="285" spans="1:220" x14ac:dyDescent="0.3">
      <c r="A285" s="211"/>
      <c r="FN285" s="218"/>
      <c r="GP285" s="218"/>
      <c r="GQ285" s="218"/>
      <c r="GR285" s="218"/>
      <c r="GS285" s="218"/>
      <c r="GT285" s="218"/>
      <c r="GU285" s="218"/>
      <c r="GV285" s="218"/>
      <c r="GW285" s="218"/>
      <c r="GX285" s="218"/>
      <c r="GY285" s="218"/>
      <c r="GZ285" s="218"/>
      <c r="HA285" s="218"/>
      <c r="HB285" s="218"/>
      <c r="HC285" s="218"/>
      <c r="HD285" s="218"/>
      <c r="HE285" s="218"/>
      <c r="HF285" s="218"/>
      <c r="HG285" s="218"/>
      <c r="HH285" s="218"/>
      <c r="HI285" s="218"/>
      <c r="HJ285" s="218"/>
      <c r="HK285" s="218"/>
      <c r="HL285" s="218"/>
    </row>
    <row r="286" spans="1:220" x14ac:dyDescent="0.3">
      <c r="A286" s="211"/>
      <c r="FN286" s="218"/>
      <c r="GP286" s="218"/>
      <c r="GQ286" s="218"/>
      <c r="GR286" s="218"/>
      <c r="GS286" s="218"/>
      <c r="GT286" s="218"/>
      <c r="GU286" s="218"/>
      <c r="GV286" s="218"/>
      <c r="GW286" s="218"/>
      <c r="GX286" s="218"/>
      <c r="GY286" s="218"/>
      <c r="GZ286" s="218"/>
      <c r="HA286" s="218"/>
      <c r="HB286" s="218"/>
      <c r="HC286" s="218"/>
      <c r="HD286" s="218"/>
      <c r="HE286" s="218"/>
      <c r="HF286" s="218"/>
      <c r="HG286" s="218"/>
      <c r="HH286" s="218"/>
      <c r="HI286" s="218"/>
      <c r="HJ286" s="218"/>
      <c r="HK286" s="218"/>
      <c r="HL286" s="218"/>
    </row>
    <row r="287" spans="1:220" x14ac:dyDescent="0.3">
      <c r="A287" s="211"/>
      <c r="FN287" s="218"/>
      <c r="GP287" s="218"/>
      <c r="GQ287" s="218"/>
      <c r="GR287" s="218"/>
      <c r="GS287" s="218"/>
      <c r="GT287" s="218"/>
      <c r="GU287" s="218"/>
      <c r="GV287" s="218"/>
      <c r="GW287" s="218"/>
      <c r="GX287" s="218"/>
      <c r="GY287" s="218"/>
      <c r="GZ287" s="218"/>
      <c r="HA287" s="218"/>
      <c r="HB287" s="218"/>
      <c r="HC287" s="218"/>
      <c r="HD287" s="218"/>
      <c r="HE287" s="218"/>
      <c r="HF287" s="218"/>
      <c r="HG287" s="218"/>
      <c r="HH287" s="218"/>
      <c r="HI287" s="218"/>
      <c r="HJ287" s="218"/>
      <c r="HK287" s="218"/>
      <c r="HL287" s="218"/>
    </row>
    <row r="288" spans="1:220" x14ac:dyDescent="0.3">
      <c r="A288" s="211"/>
      <c r="FN288" s="218"/>
      <c r="GP288" s="218"/>
      <c r="GQ288" s="218"/>
      <c r="GR288" s="218"/>
      <c r="GS288" s="218"/>
      <c r="GT288" s="218"/>
      <c r="GU288" s="218"/>
      <c r="GV288" s="218"/>
      <c r="GW288" s="218"/>
      <c r="GX288" s="218"/>
      <c r="GY288" s="218"/>
      <c r="GZ288" s="218"/>
      <c r="HA288" s="218"/>
      <c r="HB288" s="218"/>
      <c r="HC288" s="218"/>
      <c r="HD288" s="218"/>
      <c r="HE288" s="218"/>
      <c r="HF288" s="218"/>
      <c r="HG288" s="218"/>
      <c r="HH288" s="218"/>
      <c r="HI288" s="218"/>
      <c r="HJ288" s="218"/>
      <c r="HK288" s="218"/>
      <c r="HL288" s="218"/>
    </row>
    <row r="289" spans="1:220" x14ac:dyDescent="0.3">
      <c r="A289" s="211"/>
      <c r="FN289" s="218"/>
      <c r="GP289" s="218"/>
      <c r="GQ289" s="218"/>
      <c r="GR289" s="218"/>
      <c r="GS289" s="218"/>
      <c r="GT289" s="218"/>
      <c r="GU289" s="218"/>
      <c r="GV289" s="218"/>
      <c r="GW289" s="218"/>
      <c r="GX289" s="218"/>
      <c r="GY289" s="218"/>
      <c r="GZ289" s="218"/>
      <c r="HA289" s="218"/>
      <c r="HB289" s="218"/>
      <c r="HC289" s="218"/>
      <c r="HD289" s="218"/>
      <c r="HE289" s="218"/>
      <c r="HF289" s="218"/>
      <c r="HG289" s="218"/>
      <c r="HH289" s="218"/>
      <c r="HI289" s="218"/>
      <c r="HJ289" s="218"/>
      <c r="HK289" s="218"/>
      <c r="HL289" s="218"/>
    </row>
    <row r="290" spans="1:220" x14ac:dyDescent="0.3">
      <c r="A290" s="211"/>
      <c r="FN290" s="218"/>
      <c r="GP290" s="218"/>
      <c r="GQ290" s="218"/>
      <c r="GR290" s="218"/>
      <c r="GS290" s="218"/>
      <c r="GT290" s="218"/>
      <c r="GU290" s="218"/>
      <c r="GV290" s="218"/>
      <c r="GW290" s="218"/>
      <c r="GX290" s="218"/>
      <c r="GY290" s="218"/>
      <c r="GZ290" s="218"/>
      <c r="HA290" s="218"/>
      <c r="HB290" s="218"/>
      <c r="HC290" s="218"/>
      <c r="HD290" s="218"/>
      <c r="HE290" s="218"/>
      <c r="HF290" s="218"/>
      <c r="HG290" s="218"/>
      <c r="HH290" s="218"/>
      <c r="HI290" s="218"/>
      <c r="HJ290" s="218"/>
      <c r="HK290" s="218"/>
      <c r="HL290" s="218"/>
    </row>
    <row r="291" spans="1:220" x14ac:dyDescent="0.3">
      <c r="A291" s="211"/>
      <c r="FN291" s="218"/>
      <c r="GP291" s="218"/>
      <c r="GQ291" s="218"/>
      <c r="GR291" s="218"/>
      <c r="GS291" s="218"/>
      <c r="GT291" s="218"/>
      <c r="GU291" s="218"/>
      <c r="GV291" s="218"/>
      <c r="GW291" s="218"/>
      <c r="GX291" s="218"/>
      <c r="GY291" s="218"/>
      <c r="GZ291" s="218"/>
      <c r="HA291" s="218"/>
      <c r="HB291" s="218"/>
      <c r="HC291" s="218"/>
      <c r="HD291" s="218"/>
      <c r="HE291" s="218"/>
      <c r="HF291" s="218"/>
      <c r="HG291" s="218"/>
      <c r="HH291" s="218"/>
      <c r="HI291" s="218"/>
      <c r="HJ291" s="218"/>
      <c r="HK291" s="218"/>
      <c r="HL291" s="218"/>
    </row>
    <row r="292" spans="1:220" x14ac:dyDescent="0.3">
      <c r="A292" s="211"/>
      <c r="FN292" s="218"/>
      <c r="GP292" s="218"/>
      <c r="GQ292" s="218"/>
      <c r="GR292" s="218"/>
      <c r="GS292" s="218"/>
      <c r="GT292" s="218"/>
      <c r="GU292" s="218"/>
      <c r="GV292" s="218"/>
      <c r="GW292" s="218"/>
      <c r="GX292" s="218"/>
      <c r="GY292" s="218"/>
      <c r="GZ292" s="218"/>
      <c r="HA292" s="218"/>
      <c r="HB292" s="218"/>
      <c r="HC292" s="218"/>
      <c r="HD292" s="218"/>
      <c r="HE292" s="218"/>
      <c r="HF292" s="218"/>
      <c r="HG292" s="218"/>
      <c r="HH292" s="218"/>
      <c r="HI292" s="218"/>
      <c r="HJ292" s="218"/>
      <c r="HK292" s="218"/>
      <c r="HL292" s="218"/>
    </row>
    <row r="293" spans="1:220" x14ac:dyDescent="0.3">
      <c r="A293" s="211"/>
      <c r="FN293" s="218"/>
      <c r="GP293" s="218"/>
      <c r="GQ293" s="218"/>
      <c r="GR293" s="218"/>
      <c r="GS293" s="218"/>
      <c r="GT293" s="218"/>
      <c r="GU293" s="218"/>
      <c r="GV293" s="218"/>
      <c r="GW293" s="218"/>
      <c r="GX293" s="218"/>
      <c r="GY293" s="218"/>
      <c r="GZ293" s="218"/>
      <c r="HA293" s="218"/>
      <c r="HB293" s="218"/>
      <c r="HC293" s="218"/>
      <c r="HD293" s="218"/>
      <c r="HE293" s="218"/>
      <c r="HF293" s="218"/>
      <c r="HG293" s="218"/>
      <c r="HH293" s="218"/>
      <c r="HI293" s="218"/>
      <c r="HJ293" s="218"/>
      <c r="HK293" s="218"/>
      <c r="HL293" s="218"/>
    </row>
    <row r="294" spans="1:220" x14ac:dyDescent="0.3">
      <c r="A294" s="211"/>
      <c r="FN294" s="218"/>
      <c r="GP294" s="218"/>
      <c r="GQ294" s="218"/>
      <c r="GR294" s="218"/>
      <c r="GS294" s="218"/>
      <c r="GT294" s="218"/>
      <c r="GU294" s="218"/>
      <c r="GV294" s="218"/>
      <c r="GW294" s="218"/>
      <c r="GX294" s="218"/>
      <c r="GY294" s="218"/>
      <c r="GZ294" s="218"/>
      <c r="HA294" s="218"/>
      <c r="HB294" s="218"/>
      <c r="HC294" s="218"/>
      <c r="HD294" s="218"/>
      <c r="HE294" s="218"/>
      <c r="HF294" s="218"/>
      <c r="HG294" s="218"/>
      <c r="HH294" s="218"/>
      <c r="HI294" s="218"/>
      <c r="HJ294" s="218"/>
      <c r="HK294" s="218"/>
      <c r="HL294" s="218"/>
    </row>
    <row r="295" spans="1:220" x14ac:dyDescent="0.3">
      <c r="A295" s="211"/>
      <c r="FN295" s="218"/>
      <c r="GP295" s="218"/>
      <c r="GQ295" s="218"/>
      <c r="GR295" s="218"/>
      <c r="GS295" s="218"/>
      <c r="GT295" s="218"/>
      <c r="GU295" s="218"/>
      <c r="GV295" s="218"/>
      <c r="GW295" s="218"/>
      <c r="GX295" s="218"/>
      <c r="GY295" s="218"/>
      <c r="GZ295" s="218"/>
      <c r="HA295" s="218"/>
      <c r="HB295" s="218"/>
      <c r="HC295" s="218"/>
      <c r="HD295" s="218"/>
      <c r="HE295" s="218"/>
      <c r="HF295" s="218"/>
      <c r="HG295" s="218"/>
      <c r="HH295" s="218"/>
      <c r="HI295" s="218"/>
      <c r="HJ295" s="218"/>
      <c r="HK295" s="218"/>
      <c r="HL295" s="218"/>
    </row>
    <row r="296" spans="1:220" x14ac:dyDescent="0.3">
      <c r="A296" s="211"/>
      <c r="FN296" s="218"/>
      <c r="GP296" s="218"/>
      <c r="GQ296" s="218"/>
      <c r="GR296" s="218"/>
      <c r="GS296" s="218"/>
      <c r="GT296" s="218"/>
      <c r="GU296" s="218"/>
      <c r="GV296" s="218"/>
      <c r="GW296" s="218"/>
      <c r="GX296" s="218"/>
      <c r="GY296" s="218"/>
      <c r="GZ296" s="218"/>
      <c r="HA296" s="218"/>
      <c r="HB296" s="218"/>
      <c r="HC296" s="218"/>
      <c r="HD296" s="218"/>
      <c r="HE296" s="218"/>
      <c r="HF296" s="218"/>
      <c r="HG296" s="218"/>
      <c r="HH296" s="218"/>
      <c r="HI296" s="218"/>
      <c r="HJ296" s="218"/>
      <c r="HK296" s="218"/>
      <c r="HL296" s="218"/>
    </row>
    <row r="297" spans="1:220" x14ac:dyDescent="0.3">
      <c r="A297" s="211"/>
      <c r="FN297" s="218"/>
      <c r="GP297" s="218"/>
      <c r="GQ297" s="218"/>
      <c r="GR297" s="218"/>
      <c r="GS297" s="218"/>
      <c r="GT297" s="218"/>
      <c r="GU297" s="218"/>
      <c r="GV297" s="218"/>
      <c r="GW297" s="218"/>
      <c r="GX297" s="218"/>
      <c r="GY297" s="218"/>
      <c r="GZ297" s="218"/>
      <c r="HA297" s="218"/>
      <c r="HB297" s="218"/>
      <c r="HC297" s="218"/>
      <c r="HD297" s="218"/>
      <c r="HE297" s="218"/>
      <c r="HF297" s="218"/>
      <c r="HG297" s="218"/>
      <c r="HH297" s="218"/>
      <c r="HI297" s="218"/>
      <c r="HJ297" s="218"/>
      <c r="HK297" s="218"/>
      <c r="HL297" s="218"/>
    </row>
    <row r="298" spans="1:220" x14ac:dyDescent="0.3">
      <c r="A298" s="211"/>
      <c r="FN298" s="218"/>
      <c r="GP298" s="218"/>
      <c r="GQ298" s="218"/>
      <c r="GR298" s="218"/>
      <c r="GS298" s="218"/>
      <c r="GT298" s="218"/>
      <c r="GU298" s="218"/>
      <c r="GV298" s="218"/>
      <c r="GW298" s="218"/>
      <c r="GX298" s="218"/>
      <c r="GY298" s="218"/>
      <c r="GZ298" s="218"/>
      <c r="HA298" s="218"/>
      <c r="HB298" s="218"/>
      <c r="HC298" s="218"/>
      <c r="HD298" s="218"/>
      <c r="HE298" s="218"/>
      <c r="HF298" s="218"/>
      <c r="HG298" s="218"/>
      <c r="HH298" s="218"/>
      <c r="HI298" s="218"/>
      <c r="HJ298" s="218"/>
      <c r="HK298" s="218"/>
      <c r="HL298" s="218"/>
    </row>
    <row r="299" spans="1:220" x14ac:dyDescent="0.3">
      <c r="A299" s="211"/>
      <c r="FN299" s="218"/>
      <c r="GP299" s="218"/>
      <c r="GQ299" s="218"/>
      <c r="GR299" s="218"/>
      <c r="GS299" s="218"/>
      <c r="GT299" s="218"/>
      <c r="GU299" s="218"/>
      <c r="GV299" s="218"/>
      <c r="GW299" s="218"/>
      <c r="GX299" s="218"/>
      <c r="GY299" s="218"/>
      <c r="GZ299" s="218"/>
      <c r="HA299" s="218"/>
      <c r="HB299" s="218"/>
      <c r="HC299" s="218"/>
      <c r="HD299" s="218"/>
      <c r="HE299" s="218"/>
      <c r="HF299" s="218"/>
      <c r="HG299" s="218"/>
      <c r="HH299" s="218"/>
      <c r="HI299" s="218"/>
      <c r="HJ299" s="218"/>
      <c r="HK299" s="218"/>
      <c r="HL299" s="218"/>
    </row>
    <row r="300" spans="1:220" x14ac:dyDescent="0.3">
      <c r="A300" s="211"/>
      <c r="FN300" s="218"/>
      <c r="GP300" s="218"/>
      <c r="GQ300" s="218"/>
      <c r="GR300" s="218"/>
      <c r="GS300" s="218"/>
      <c r="GT300" s="218"/>
      <c r="GU300" s="218"/>
      <c r="GV300" s="218"/>
      <c r="GW300" s="218"/>
      <c r="GX300" s="218"/>
      <c r="GY300" s="218"/>
      <c r="GZ300" s="218"/>
      <c r="HA300" s="218"/>
      <c r="HB300" s="218"/>
      <c r="HC300" s="218"/>
      <c r="HD300" s="218"/>
      <c r="HE300" s="218"/>
      <c r="HF300" s="218"/>
      <c r="HG300" s="218"/>
      <c r="HH300" s="218"/>
      <c r="HI300" s="218"/>
      <c r="HJ300" s="218"/>
      <c r="HK300" s="218"/>
      <c r="HL300" s="218"/>
    </row>
    <row r="301" spans="1:220" x14ac:dyDescent="0.3">
      <c r="A301" s="211"/>
      <c r="FN301" s="218"/>
      <c r="GP301" s="218"/>
      <c r="GQ301" s="218"/>
      <c r="GR301" s="218"/>
      <c r="GS301" s="218"/>
      <c r="GT301" s="218"/>
      <c r="GU301" s="218"/>
      <c r="GV301" s="218"/>
      <c r="GW301" s="218"/>
      <c r="GX301" s="218"/>
      <c r="GY301" s="218"/>
      <c r="GZ301" s="218"/>
      <c r="HA301" s="218"/>
      <c r="HB301" s="218"/>
      <c r="HC301" s="218"/>
      <c r="HD301" s="218"/>
      <c r="HE301" s="218"/>
      <c r="HF301" s="218"/>
      <c r="HG301" s="218"/>
      <c r="HH301" s="218"/>
      <c r="HI301" s="218"/>
      <c r="HJ301" s="218"/>
      <c r="HK301" s="218"/>
      <c r="HL301" s="218"/>
    </row>
    <row r="302" spans="1:220" x14ac:dyDescent="0.3">
      <c r="A302" s="211"/>
      <c r="FN302" s="218"/>
      <c r="GP302" s="218"/>
      <c r="GQ302" s="218"/>
      <c r="GR302" s="218"/>
      <c r="GS302" s="218"/>
      <c r="GT302" s="218"/>
      <c r="GU302" s="218"/>
      <c r="GV302" s="218"/>
      <c r="GW302" s="218"/>
      <c r="GX302" s="218"/>
      <c r="GY302" s="218"/>
      <c r="GZ302" s="218"/>
      <c r="HA302" s="218"/>
      <c r="HB302" s="218"/>
      <c r="HC302" s="218"/>
      <c r="HD302" s="218"/>
      <c r="HE302" s="218"/>
      <c r="HF302" s="218"/>
      <c r="HG302" s="218"/>
      <c r="HH302" s="218"/>
      <c r="HI302" s="218"/>
      <c r="HJ302" s="218"/>
      <c r="HK302" s="218"/>
      <c r="HL302" s="218"/>
    </row>
    <row r="303" spans="1:220" x14ac:dyDescent="0.3">
      <c r="A303" s="211"/>
      <c r="FN303" s="218"/>
      <c r="GP303" s="218"/>
      <c r="GQ303" s="218"/>
      <c r="GR303" s="218"/>
      <c r="GS303" s="218"/>
      <c r="GT303" s="218"/>
      <c r="GU303" s="218"/>
      <c r="GV303" s="218"/>
      <c r="GW303" s="218"/>
      <c r="GX303" s="218"/>
      <c r="GY303" s="218"/>
      <c r="GZ303" s="218"/>
      <c r="HA303" s="218"/>
      <c r="HB303" s="218"/>
      <c r="HC303" s="218"/>
      <c r="HD303" s="218"/>
      <c r="HE303" s="218"/>
      <c r="HF303" s="218"/>
      <c r="HG303" s="218"/>
      <c r="HH303" s="218"/>
      <c r="HI303" s="218"/>
      <c r="HJ303" s="218"/>
      <c r="HK303" s="218"/>
      <c r="HL303" s="218"/>
    </row>
    <row r="304" spans="1:220" x14ac:dyDescent="0.3">
      <c r="A304" s="211"/>
      <c r="FN304" s="218"/>
      <c r="GP304" s="218"/>
      <c r="GQ304" s="218"/>
      <c r="GR304" s="218"/>
      <c r="GS304" s="218"/>
      <c r="GT304" s="218"/>
      <c r="GU304" s="218"/>
      <c r="GV304" s="218"/>
      <c r="GW304" s="218"/>
      <c r="GX304" s="218"/>
      <c r="GY304" s="218"/>
      <c r="GZ304" s="218"/>
      <c r="HA304" s="218"/>
      <c r="HB304" s="218"/>
      <c r="HC304" s="218"/>
      <c r="HD304" s="218"/>
      <c r="HE304" s="218"/>
      <c r="HF304" s="218"/>
      <c r="HG304" s="218"/>
      <c r="HH304" s="218"/>
      <c r="HI304" s="218"/>
      <c r="HJ304" s="218"/>
      <c r="HK304" s="218"/>
      <c r="HL304" s="218"/>
    </row>
    <row r="305" spans="1:220" x14ac:dyDescent="0.3">
      <c r="A305" s="211"/>
      <c r="FN305" s="218"/>
      <c r="GP305" s="218"/>
      <c r="GQ305" s="218"/>
      <c r="GR305" s="218"/>
      <c r="GS305" s="218"/>
      <c r="GT305" s="218"/>
      <c r="GU305" s="218"/>
      <c r="GV305" s="218"/>
      <c r="GW305" s="218"/>
      <c r="GX305" s="218"/>
      <c r="GY305" s="218"/>
      <c r="GZ305" s="218"/>
      <c r="HA305" s="218"/>
      <c r="HB305" s="218"/>
      <c r="HC305" s="218"/>
      <c r="HD305" s="218"/>
      <c r="HE305" s="218"/>
      <c r="HF305" s="218"/>
      <c r="HG305" s="218"/>
      <c r="HH305" s="218"/>
      <c r="HI305" s="218"/>
      <c r="HJ305" s="218"/>
      <c r="HK305" s="218"/>
      <c r="HL305" s="218"/>
    </row>
    <row r="306" spans="1:220" x14ac:dyDescent="0.3">
      <c r="A306" s="211"/>
      <c r="FN306" s="218"/>
      <c r="GP306" s="218"/>
      <c r="GQ306" s="218"/>
      <c r="GR306" s="218"/>
      <c r="GS306" s="218"/>
      <c r="GT306" s="218"/>
      <c r="GU306" s="218"/>
      <c r="GV306" s="218"/>
      <c r="GW306" s="218"/>
      <c r="GX306" s="218"/>
      <c r="GY306" s="218"/>
      <c r="GZ306" s="218"/>
      <c r="HA306" s="218"/>
      <c r="HB306" s="218"/>
      <c r="HC306" s="218"/>
      <c r="HD306" s="218"/>
      <c r="HE306" s="218"/>
      <c r="HF306" s="218"/>
      <c r="HG306" s="218"/>
      <c r="HH306" s="218"/>
      <c r="HI306" s="218"/>
      <c r="HJ306" s="218"/>
      <c r="HK306" s="218"/>
      <c r="HL306" s="218"/>
    </row>
  </sheetData>
  <sheetProtection password="F8DD" sheet="1" selectLockedCells="1"/>
  <customSheetViews>
    <customSheetView guid="{19166E14-FA2C-4A8E-94B4-58FB50E3C2AB}">
      <pane xSplit="1" ySplit="5" topLeftCell="CI150" activePane="bottomRight" state="frozen"/>
      <selection pane="bottomRight" activeCell="CO156" sqref="CO156"/>
      <pageMargins left="0.7" right="0.7" top="0.78740157499999996" bottom="0.78740157499999996" header="0.3" footer="0.3"/>
    </customSheetView>
    <customSheetView guid="{A04E2617-7092-4ACA-9C80-BFC49C4921F8}">
      <pane xSplit="1" ySplit="5" topLeftCell="CI150" activePane="bottomRight" state="frozen"/>
      <selection pane="bottomRight" activeCell="CO156" sqref="CO156"/>
      <pageMargins left="0.7" right="0.7" top="0.78740157499999996" bottom="0.78740157499999996" header="0.3" footer="0.3"/>
    </customSheetView>
  </customSheetViews>
  <hyperlinks>
    <hyperlink ref="DA4" r:id="rId1" xr:uid="{00000000-0004-0000-0500-000000000000}"/>
  </hyperlinks>
  <pageMargins left="0.7" right="0.7" top="0.78740157499999996" bottom="0.78740157499999996" header="0.3" footer="0.3"/>
  <pageSetup paperSize="9" orientation="portrait" r:id="rId2"/>
  <ignoredErrors>
    <ignoredError sqref="CK75:CK15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335"/>
  <sheetViews>
    <sheetView topLeftCell="A310" zoomScale="80" zoomScaleNormal="90" workbookViewId="0">
      <selection activeCell="C311" sqref="C311"/>
    </sheetView>
  </sheetViews>
  <sheetFormatPr defaultColWidth="11.5546875" defaultRowHeight="15.6" x14ac:dyDescent="0.3"/>
  <cols>
    <col min="1" max="1" width="50.6640625" style="5" customWidth="1"/>
    <col min="2" max="3" width="70.109375" style="6" customWidth="1"/>
    <col min="4" max="4" width="70.109375" style="313" customWidth="1"/>
    <col min="5" max="5" width="17" style="314" customWidth="1"/>
    <col min="6" max="6" width="11.5546875" style="314" customWidth="1"/>
    <col min="7" max="16384" width="11.5546875" style="314"/>
  </cols>
  <sheetData>
    <row r="1" spans="1:4" x14ac:dyDescent="0.3">
      <c r="A1" s="5" t="s">
        <v>21</v>
      </c>
      <c r="B1" s="6">
        <v>1</v>
      </c>
      <c r="C1" s="6">
        <v>2</v>
      </c>
    </row>
    <row r="2" spans="1:4" x14ac:dyDescent="0.3">
      <c r="C2" s="312" t="s">
        <v>22</v>
      </c>
      <c r="D2" s="8" t="s">
        <v>23</v>
      </c>
    </row>
    <row r="3" spans="1:4" x14ac:dyDescent="0.3">
      <c r="A3" s="5" t="s">
        <v>24</v>
      </c>
      <c r="B3" s="6" t="s">
        <v>25</v>
      </c>
      <c r="C3" s="6" t="s">
        <v>26</v>
      </c>
      <c r="D3" s="313" t="s">
        <v>27</v>
      </c>
    </row>
    <row r="4" spans="1:4" x14ac:dyDescent="0.3">
      <c r="A4" s="5" t="str">
        <f ca="1">IF(checks!$B$2&lt;checks!$B$1,OFFSET(A4,0,(IF(control!$H$2&gt;$B$1-1,IF(control!$H$2&lt;$C$1+1,control!$H$2,1),1))),"please obtain an update from www.vision3000.eu ")</f>
        <v>Balance-Based World Scenarios</v>
      </c>
      <c r="B4" s="6" t="s">
        <v>28</v>
      </c>
      <c r="C4" s="6" t="s">
        <v>29</v>
      </c>
    </row>
    <row r="5" spans="1:4" x14ac:dyDescent="0.3">
      <c r="A5" s="5" t="str">
        <f ca="1">IF(checks!$B$2&lt;checks!$B$1,OFFSET(A5,0,(IF(control!$H$2&gt;$B$1-1,IF(control!$H$2&lt;$C$1+1,control!$H$2,1),1))),"please obtain an update from www.vision3000.eu ")</f>
        <v>language:</v>
      </c>
      <c r="B5" s="6" t="s">
        <v>30</v>
      </c>
      <c r="C5" s="6" t="s">
        <v>31</v>
      </c>
    </row>
    <row r="6" spans="1:4" x14ac:dyDescent="0.3">
      <c r="A6" s="5" t="str">
        <f ca="1">IF(checks!$B$2&lt;checks!$B$1,OFFSET(A6,0,(IF(control!$H$2&gt;$B$1-1,IF(control!$H$2&lt;$C$1+1,control!$H$2,1),1))),"please obtain an update from www.vision3000.eu ")</f>
        <v>scenario settings</v>
      </c>
      <c r="B6" s="6" t="s">
        <v>32</v>
      </c>
      <c r="C6" s="6" t="s">
        <v>33</v>
      </c>
    </row>
    <row r="7" spans="1:4" x14ac:dyDescent="0.3">
      <c r="A7" s="5" t="str">
        <f ca="1">IF(checks!$B$2&lt;checks!$B$1,OFFSET(A7,0,(IF(control!$H$2&gt;$B$1-1,IF(control!$H$2&lt;$C$1+1,control!$H$2,1),1))),"please obtain an update from www.vision3000.eu ")</f>
        <v>scenario details and parameters</v>
      </c>
      <c r="B7" s="6" t="s">
        <v>34</v>
      </c>
      <c r="C7" s="6" t="s">
        <v>35</v>
      </c>
    </row>
    <row r="8" spans="1:4" x14ac:dyDescent="0.3">
      <c r="A8" s="5" t="str">
        <f ca="1">IF(checks!$B$2&lt;checks!$B$1,OFFSET(A8,0,(IF(control!$H$2&gt;$B$1-1,IF(control!$H$2&lt;$C$1+1,control!$H$2,1),1))),"please obtain an update from www.vision3000.eu ")</f>
        <v>world population (1-low, 2-medium, 3-high)</v>
      </c>
      <c r="B8" s="6" t="s">
        <v>957</v>
      </c>
      <c r="C8" s="6" t="s">
        <v>956</v>
      </c>
    </row>
    <row r="9" spans="1:4" x14ac:dyDescent="0.3">
      <c r="A9" s="5" t="str">
        <f ca="1">IF(checks!$B$2&lt;checks!$B$1,OFFSET(A9,0,(IF(control!$H$2&gt;$B$1-1,IF(control!$H$2&lt;$C$1+1,control!$H$2,1),1))),"please obtain an update from www.vision3000.eu ")</f>
        <v>world population</v>
      </c>
      <c r="B9" s="6" t="s">
        <v>36</v>
      </c>
      <c r="C9" s="6" t="s">
        <v>37</v>
      </c>
    </row>
    <row r="10" spans="1:4" x14ac:dyDescent="0.3">
      <c r="A10" s="5" t="str">
        <f ca="1">IF(checks!$B$2&lt;checks!$B$1,OFFSET(A10,0,(IF(control!$H$2&gt;$B$1-1,IF(control!$H$2&lt;$C$1+1,control!$H$2,1),1))),"please obtain an update from www.vision3000.eu ")</f>
        <v>scale</v>
      </c>
      <c r="B10" s="6" t="s">
        <v>38</v>
      </c>
      <c r="C10" s="6" t="s">
        <v>39</v>
      </c>
    </row>
    <row r="11" spans="1:4" x14ac:dyDescent="0.3">
      <c r="A11" s="5" t="str">
        <f ca="1">IF(checks!$B$2&lt;checks!$B$1,OFFSET(A11,0,(IF(control!$H$2&gt;$B$1-1,IF(control!$H$2&lt;$C$1+1,control!$H$2,1),1))),"please obtain an update from www.vision3000.eu ")</f>
        <v>value</v>
      </c>
      <c r="B11" s="6" t="s">
        <v>40</v>
      </c>
      <c r="C11" s="6" t="s">
        <v>41</v>
      </c>
    </row>
    <row r="12" spans="1:4" x14ac:dyDescent="0.3">
      <c r="A12" s="5" t="str">
        <f ca="1">IF(checks!$B$2&lt;checks!$B$1,OFFSET(A12,0,(IF(control!$H$2&gt;$B$1-1,IF(control!$H$2&lt;$C$1+1,control!$H$2,1),1))),"please obtain an update from www.vision3000.eu ")</f>
        <v>fixed value</v>
      </c>
      <c r="B12" s="6" t="s">
        <v>42</v>
      </c>
      <c r="C12" s="6" t="s">
        <v>43</v>
      </c>
    </row>
    <row r="13" spans="1:4" x14ac:dyDescent="0.3">
      <c r="A13" s="5" t="str">
        <f ca="1">IF(checks!$B$2&lt;checks!$B$1,OFFSET(A13,0,(IF(control!$H$2&gt;$B$1-1,IF(control!$H$2&lt;$C$1+1,control!$H$2,1),1))),"please obtain an update from www.vision3000.eu ")</f>
        <v>changeable via control sheet</v>
      </c>
      <c r="B13" s="6" t="s">
        <v>44</v>
      </c>
      <c r="C13" s="6" t="s">
        <v>45</v>
      </c>
    </row>
    <row r="14" spans="1:4" x14ac:dyDescent="0.3">
      <c r="A14" s="5" t="str">
        <f ca="1">IF(checks!$B$2&lt;checks!$B$1,OFFSET(A14,0,(IF(control!$H$2&gt;$B$1-1,IF(control!$H$2&lt;$C$1+1,control!$H$2,1),1))),"please obtain an update from www.vision3000.eu ")</f>
        <v>real scale from slider</v>
      </c>
      <c r="B14" s="6" t="s">
        <v>46</v>
      </c>
      <c r="C14" s="6" t="s">
        <v>47</v>
      </c>
    </row>
    <row r="15" spans="1:4" x14ac:dyDescent="0.3">
      <c r="A15" s="5" t="str">
        <f ca="1">IF(checks!$B$2&lt;checks!$B$1,OFFSET(A15,0,(IF(control!$H$2&gt;$B$1-1,IF(control!$H$2&lt;$C$1+1,control!$H$2,1),1))),"please obtain an update from www.vision3000.eu ")</f>
        <v>scaling factor population</v>
      </c>
      <c r="B15" s="6" t="s">
        <v>48</v>
      </c>
      <c r="C15" s="6" t="s">
        <v>49</v>
      </c>
    </row>
    <row r="16" spans="1:4" ht="31.2" x14ac:dyDescent="0.3">
      <c r="A16" s="5" t="str">
        <f ca="1">IF(checks!$B$2&lt;checks!$B$1,OFFSET(A16,0,(IF(control!$H$2&gt;$B$1-1,IF(control!$H$2&lt;$C$1+1,control!$H$2,1),1))),"please obtain an update from www.vision3000.eu ")</f>
        <v>1 - low, 2 - medium, 3 -high, linear interpolation and extrapolation</v>
      </c>
      <c r="B16" s="6" t="s">
        <v>846</v>
      </c>
      <c r="C16" s="6" t="s">
        <v>847</v>
      </c>
    </row>
    <row r="17" spans="1:3" ht="78" x14ac:dyDescent="0.3">
      <c r="A17" s="5" t="str">
        <f ca="1">IF(checks!$B$2&lt;checks!$B$1,OFFSET(A17,0,(IF(control!$H$2&gt;$B$1-1,IF(control!$H$2&lt;$C$1+1,control!$H$2,1),1))),"please obtain an update from www.vision3000.eu ")</f>
        <v xml:space="preserve">
Warning: The UN has always upward corrected their population estimates. Thus extreme efforts are required for such low population growth, e.g. development aids.</v>
      </c>
      <c r="B17" s="6" t="s">
        <v>50</v>
      </c>
      <c r="C17" s="6" t="s">
        <v>51</v>
      </c>
    </row>
    <row r="18" spans="1:3" ht="78" x14ac:dyDescent="0.3">
      <c r="A18" s="5" t="str">
        <f ca="1">IF(checks!$B$2&lt;checks!$B$1,OFFSET(A18,0,(IF(control!$H$2&gt;$B$1-1,IF(control!$H$2&lt;$C$1+1,control!$H$2,1),1))),"please obtain an update from www.vision3000.eu ")</f>
        <v xml:space="preserve">
Caution: Keeping population growth only slightly above medium variant may require dedicated political measures like intensified development aids.</v>
      </c>
      <c r="B18" s="6" t="s">
        <v>52</v>
      </c>
      <c r="C18" s="6" t="s">
        <v>53</v>
      </c>
    </row>
    <row r="19" spans="1:3" x14ac:dyDescent="0.3">
      <c r="A19" s="5" t="str">
        <f ca="1">IF(checks!$B$2&lt;checks!$B$1,OFFSET(A19,0,(IF(control!$H$2&gt;$B$1-1,IF(control!$H$2&lt;$C$1+1,control!$H$2,1),1))),"please obtain an update from www.vision3000.eu ")</f>
        <v>UN variant:</v>
      </c>
      <c r="B19" s="6" t="s">
        <v>54</v>
      </c>
      <c r="C19" s="6" t="s">
        <v>55</v>
      </c>
    </row>
    <row r="20" spans="1:3" x14ac:dyDescent="0.3">
      <c r="A20" s="5" t="str">
        <f ca="1">IF(checks!$B$2&lt;checks!$B$1,OFFSET(A20,0,(IF(control!$H$2&gt;$B$1-1,IF(control!$H$2&lt;$C$1+1,control!$H$2,1),1))),"please obtain an update from www.vision3000.eu ")</f>
        <v>low</v>
      </c>
      <c r="B20" s="6" t="s">
        <v>56</v>
      </c>
      <c r="C20" s="6" t="s">
        <v>57</v>
      </c>
    </row>
    <row r="21" spans="1:3" x14ac:dyDescent="0.3">
      <c r="A21" s="5" t="str">
        <f ca="1">IF(checks!$B$2&lt;checks!$B$1,OFFSET(A21,0,(IF(control!$H$2&gt;$B$1-1,IF(control!$H$2&lt;$C$1+1,control!$H$2,1),1))),"please obtain an update from www.vision3000.eu ")</f>
        <v>medium</v>
      </c>
      <c r="B21" s="6" t="s">
        <v>58</v>
      </c>
      <c r="C21" s="6" t="s">
        <v>59</v>
      </c>
    </row>
    <row r="22" spans="1:3" x14ac:dyDescent="0.3">
      <c r="A22" s="5" t="str">
        <f ca="1">IF(checks!$B$2&lt;checks!$B$1,OFFSET(A22,0,(IF(control!$H$2&gt;$B$1-1,IF(control!$H$2&lt;$C$1+1,control!$H$2,1),1))),"please obtain an update from www.vision3000.eu ")</f>
        <v>high</v>
      </c>
      <c r="B22" s="6" t="s">
        <v>60</v>
      </c>
      <c r="C22" s="6" t="s">
        <v>61</v>
      </c>
    </row>
    <row r="23" spans="1:3" x14ac:dyDescent="0.3">
      <c r="A23" s="5" t="str">
        <f ca="1">IF(checks!$B$2&lt;checks!$B$1,OFFSET(A23,0,(IF(control!$H$2&gt;$B$1-1,IF(control!$H$2&lt;$C$1+1,control!$H$2,1),1))),"please obtain an update from www.vision3000.eu ")</f>
        <v>population chosen</v>
      </c>
      <c r="B23" s="6" t="s">
        <v>62</v>
      </c>
      <c r="C23" s="6" t="s">
        <v>63</v>
      </c>
    </row>
    <row r="24" spans="1:3" x14ac:dyDescent="0.3">
      <c r="A24" s="5" t="str">
        <f ca="1">IF(checks!$B$2&lt;checks!$B$1,OFFSET(A24,0,(IF(control!$H$2&gt;$B$1-1,IF(control!$H$2&lt;$C$1+1,control!$H$2,1),1))),"please obtain an update from www.vision3000.eu ")</f>
        <v>in billion</v>
      </c>
      <c r="B24" s="6" t="s">
        <v>64</v>
      </c>
      <c r="C24" s="6" t="s">
        <v>65</v>
      </c>
    </row>
    <row r="25" spans="1:3" x14ac:dyDescent="0.3">
      <c r="A25" s="5" t="str">
        <f ca="1">IF(checks!$B$2&lt;checks!$B$1,OFFSET(A25,0,(IF(control!$H$2&gt;$B$1-1,IF(control!$H$2&lt;$C$1+1,control!$H$2,1),1))),"please obtain an update from www.vision3000.eu ")</f>
        <v>primary energy &amp; materials consumption</v>
      </c>
      <c r="B25" s="6" t="s">
        <v>66</v>
      </c>
      <c r="C25" s="6" t="s">
        <v>67</v>
      </c>
    </row>
    <row r="26" spans="1:3" x14ac:dyDescent="0.3">
      <c r="A26" s="5" t="str">
        <f ca="1">IF(checks!$B$2&lt;checks!$B$1,OFFSET(A26,0,(IF(control!$H$2&gt;$B$1-1,IF(control!$H$2&lt;$C$1+1,control!$H$2,1),1))),"please obtain an update from www.vision3000.eu ")</f>
        <v>slope fitted to historical data</v>
      </c>
      <c r="B26" s="6" t="s">
        <v>68</v>
      </c>
      <c r="C26" s="6" t="s">
        <v>69</v>
      </c>
    </row>
    <row r="27" spans="1:3" x14ac:dyDescent="0.3">
      <c r="A27" s="5" t="str">
        <f ca="1">IF(checks!$B$2&lt;checks!$B$1,OFFSET(A27,0,(IF(control!$H$2&gt;$B$1-1,IF(control!$H$2&lt;$C$1+1,control!$H$2,1),1))),"please obtain an update from www.vision3000.eu ")</f>
        <v>maximum of 9-year average growth</v>
      </c>
      <c r="B27" s="6" t="s">
        <v>70</v>
      </c>
      <c r="C27" s="6" t="s">
        <v>71</v>
      </c>
    </row>
    <row r="28" spans="1:3" x14ac:dyDescent="0.3">
      <c r="A28" s="5" t="str">
        <f ca="1">IF(checks!$B$2&lt;checks!$B$1,OFFSET(A28,0,(IF(control!$H$2&gt;$B$1-1,IF(control!$H$2&lt;$C$1+1,control!$H$2,1),1))),"please obtain an update from www.vision3000.eu ")</f>
        <v>minimum growth considered</v>
      </c>
      <c r="B28" s="6" t="s">
        <v>72</v>
      </c>
      <c r="C28" s="6" t="s">
        <v>73</v>
      </c>
    </row>
    <row r="29" spans="1:3" ht="31.2" x14ac:dyDescent="0.3">
      <c r="A29" s="5" t="str">
        <f ca="1">IF(checks!$B$2&lt;checks!$B$1,OFFSET(A29,0,(IF(control!$H$2&gt;$B$1-1,IF(control!$H$2&lt;$C$1+1,control!$H$2,1),1))),"please obtain an update from www.vision3000.eu ")</f>
        <v>upper limit of per-capita primary-energy consumption</v>
      </c>
      <c r="B29" s="6" t="s">
        <v>809</v>
      </c>
      <c r="C29" s="6" t="s">
        <v>808</v>
      </c>
    </row>
    <row r="30" spans="1:3" x14ac:dyDescent="0.3">
      <c r="A30" s="5" t="str">
        <f ca="1">IF(checks!$B$2&lt;checks!$B$1,OFFSET(A30,0,(IF(control!$H$2&gt;$B$1-1,IF(control!$H$2&lt;$C$1+1,control!$H$2,1),1))),"please obtain an update from www.vision3000.eu ")</f>
        <v>limit for good developed life</v>
      </c>
      <c r="B30" s="6" t="s">
        <v>74</v>
      </c>
      <c r="C30" s="6" t="s">
        <v>75</v>
      </c>
    </row>
    <row r="31" spans="1:3" x14ac:dyDescent="0.3">
      <c r="A31" s="5" t="str">
        <f ca="1">IF(checks!$B$2&lt;checks!$B$1,OFFSET(A31,0,(IF(control!$H$2&gt;$B$1-1,IF(control!$H$2&lt;$C$1+1,control!$H$2,1),1))),"please obtain an update from www.vision3000.eu ")</f>
        <v>maximum limit considered</v>
      </c>
      <c r="B31" s="6" t="s">
        <v>76</v>
      </c>
      <c r="C31" s="6" t="s">
        <v>77</v>
      </c>
    </row>
    <row r="32" spans="1:3" x14ac:dyDescent="0.3">
      <c r="A32" s="5" t="str">
        <f ca="1">IF(checks!$B$2&lt;checks!$B$1,OFFSET(A32,0,(IF(control!$H$2&gt;$B$1-1,IF(control!$H$2&lt;$C$1+1,control!$H$2,1),1))),"please obtain an update from www.vision3000.eu ")</f>
        <v>minimum limit considered</v>
      </c>
      <c r="B32" s="6" t="s">
        <v>78</v>
      </c>
      <c r="C32" s="6" t="s">
        <v>79</v>
      </c>
    </row>
    <row r="33" spans="1:3" x14ac:dyDescent="0.3">
      <c r="A33" s="5" t="str">
        <f ca="1">IF(checks!$B$2&lt;checks!$B$1,OFFSET(A33,0,(IF(control!$H$2&gt;$B$1-1,IF(control!$H$2&lt;$C$1+1,control!$H$2,1),1))),"please obtain an update from www.vision3000.eu ")</f>
        <v>real scale from slope slider</v>
      </c>
      <c r="B33" s="6" t="s">
        <v>80</v>
      </c>
      <c r="C33" s="6" t="s">
        <v>81</v>
      </c>
    </row>
    <row r="34" spans="1:3" x14ac:dyDescent="0.3">
      <c r="A34" s="5" t="str">
        <f ca="1">IF(checks!$B$2&lt;checks!$B$1,OFFSET(A34,0,(IF(control!$H$2&gt;$B$1-1,IF(control!$H$2&lt;$C$1+1,control!$H$2,1),1))),"please obtain an update from www.vision3000.eu ")</f>
        <v>scaled slope</v>
      </c>
      <c r="B34" s="6" t="s">
        <v>82</v>
      </c>
      <c r="C34" s="6" t="s">
        <v>83</v>
      </c>
    </row>
    <row r="35" spans="1:3" x14ac:dyDescent="0.3">
      <c r="A35" s="5" t="str">
        <f ca="1">IF(checks!$B$2&lt;checks!$B$1,OFFSET(A35,0,(IF(control!$H$2&gt;$B$1-1,IF(control!$H$2&lt;$C$1+1,control!$H$2,1),1))),"please obtain an update from www.vision3000.eu ")</f>
        <v>real scale from limit slider</v>
      </c>
      <c r="B35" s="6" t="s">
        <v>84</v>
      </c>
      <c r="C35" s="6" t="s">
        <v>85</v>
      </c>
    </row>
    <row r="36" spans="1:3" x14ac:dyDescent="0.3">
      <c r="A36" s="5" t="str">
        <f ca="1">IF(checks!$B$2&lt;checks!$B$1,OFFSET(A36,0,(IF(control!$H$2&gt;$B$1-1,IF(control!$H$2&lt;$C$1+1,control!$H$2,1),1))),"please obtain an update from www.vision3000.eu ")</f>
        <v>upper limit of per-capita primary energy demand</v>
      </c>
      <c r="B36" s="6" t="s">
        <v>967</v>
      </c>
      <c r="C36" s="6" t="s">
        <v>966</v>
      </c>
    </row>
    <row r="37" spans="1:3" x14ac:dyDescent="0.3">
      <c r="A37" s="5" t="str">
        <f ca="1">IF(checks!$B$2&lt;checks!$B$1,OFFSET(A37,0,(IF(control!$H$2&gt;$B$1-1,IF(control!$H$2&lt;$C$1+1,control!$H$2,1),1))),"please obtain an update from www.vision3000.eu ")</f>
        <v>energy chosen</v>
      </c>
      <c r="B37" s="6" t="s">
        <v>86</v>
      </c>
      <c r="C37" s="6" t="s">
        <v>87</v>
      </c>
    </row>
    <row r="38" spans="1:3" x14ac:dyDescent="0.3">
      <c r="A38" s="5" t="str">
        <f ca="1">IF(checks!$B$2&lt;checks!$B$1,OFFSET(A38,0,(IF(control!$H$2&gt;$B$1-1,IF(control!$H$2&lt;$C$1+1,control!$H$2,1),1))),"please obtain an update from www.vision3000.eu ")</f>
        <v>OECD countries</v>
      </c>
      <c r="B38" s="6" t="s">
        <v>88</v>
      </c>
      <c r="C38" s="6" t="s">
        <v>89</v>
      </c>
    </row>
    <row r="39" spans="1:3" x14ac:dyDescent="0.3">
      <c r="A39" s="5" t="str">
        <f ca="1">IF(checks!$B$2&lt;checks!$B$1,OFFSET(A39,0,(IF(control!$H$2&gt;$B$1-1,IF(control!$H$2&lt;$C$1+1,control!$H$2,1),1))),"please obtain an update from www.vision3000.eu ")</f>
        <v>non-OECD countries</v>
      </c>
      <c r="B39" s="6" t="s">
        <v>90</v>
      </c>
      <c r="C39" s="6" t="s">
        <v>91</v>
      </c>
    </row>
    <row r="40" spans="1:3" x14ac:dyDescent="0.3">
      <c r="A40" s="5" t="str">
        <f ca="1">IF(checks!$B$2&lt;checks!$B$1,OFFSET(A40,0,(IF(control!$H$2&gt;$B$1-1,IF(control!$H$2&lt;$C$1+1,control!$H$2,1),1))),"please obtain an update from www.vision3000.eu ")</f>
        <v>per capita primary-energy consumption</v>
      </c>
      <c r="B40" s="6" t="s">
        <v>1040</v>
      </c>
      <c r="C40" s="6" t="s">
        <v>92</v>
      </c>
    </row>
    <row r="41" spans="1:3" x14ac:dyDescent="0.3">
      <c r="A41" s="5" t="str">
        <f ca="1">IF(checks!$B$2&lt;checks!$B$1,OFFSET(A41,0,(IF(control!$H$2&gt;$B$1-1,IF(control!$H$2&lt;$C$1+1,control!$H$2,1),1))),"please obtain an update from www.vision3000.eu ")</f>
        <v>in 1000 kWh/(cap a)</v>
      </c>
      <c r="B41" s="6" t="s">
        <v>93</v>
      </c>
      <c r="C41" s="6" t="s">
        <v>93</v>
      </c>
    </row>
    <row r="42" spans="1:3" x14ac:dyDescent="0.3">
      <c r="A42" s="5" t="str">
        <f ca="1">IF(checks!$B$2&lt;checks!$B$1,OFFSET(A42,0,(IF(control!$H$2&gt;$B$1-1,IF(control!$H$2&lt;$C$1+1,control!$H$2,1),1))),"please obtain an update from www.vision3000.eu ")</f>
        <v>growth hydroelectricity, ave. last 15a</v>
      </c>
      <c r="B42" s="6" t="s">
        <v>94</v>
      </c>
      <c r="C42" s="6" t="s">
        <v>95</v>
      </c>
    </row>
    <row r="43" spans="1:3" x14ac:dyDescent="0.3">
      <c r="A43" s="5" t="str">
        <f ca="1">IF(checks!$B$2&lt;checks!$B$1,OFFSET(A43,0,(IF(control!$H$2&gt;$B$1-1,IF(control!$H$2&lt;$C$1+1,control!$H$2,1),1))),"please obtain an update from www.vision3000.eu ")</f>
        <v>chosen factor max hydroelectricity rel. to 2018</v>
      </c>
      <c r="B43" s="6" t="s">
        <v>96</v>
      </c>
      <c r="C43" s="6" t="s">
        <v>97</v>
      </c>
    </row>
    <row r="44" spans="1:3" x14ac:dyDescent="0.3">
      <c r="A44" s="5" t="str">
        <f ca="1">IF(checks!$B$2&lt;checks!$B$1,OFFSET(A44,0,(IF(control!$H$2&gt;$B$1-1,IF(control!$H$2&lt;$C$1+1,control!$H$2,1),1))),"please obtain an update from www.vision3000.eu ")</f>
        <v>annual growth biofuels, average last 15a</v>
      </c>
      <c r="B44" s="6" t="s">
        <v>98</v>
      </c>
      <c r="C44" s="6" t="s">
        <v>99</v>
      </c>
    </row>
    <row r="45" spans="1:3" x14ac:dyDescent="0.3">
      <c r="A45" s="5" t="str">
        <f ca="1">IF(checks!$B$2&lt;checks!$B$1,OFFSET(A45,0,(IF(control!$H$2&gt;$B$1-1,IF(control!$H$2&lt;$C$1+1,control!$H$2,1),1))),"please obtain an update from www.vision3000.eu ")</f>
        <v>growth factor solar &amp; wind, ave last 7a</v>
      </c>
      <c r="B45" s="6" t="s">
        <v>100</v>
      </c>
      <c r="C45" s="6" t="s">
        <v>101</v>
      </c>
    </row>
    <row r="46" spans="1:3" x14ac:dyDescent="0.3">
      <c r="A46" s="5" t="str">
        <f ca="1">IF(checks!$B$2&lt;checks!$B$1,OFFSET(A46,0,(IF(control!$H$2&gt;$B$1-1,IF(control!$H$2&lt;$C$1+1,control!$H$2,1),1))),"please obtain an update from www.vision3000.eu ")</f>
        <v>max. 5a-average growth rate solar &amp; wind</v>
      </c>
      <c r="B46" s="6" t="s">
        <v>102</v>
      </c>
      <c r="C46" s="6" t="s">
        <v>103</v>
      </c>
    </row>
    <row r="47" spans="1:3" x14ac:dyDescent="0.3">
      <c r="A47" s="5" t="str">
        <f ca="1">IF(checks!$B$2&lt;checks!$B$1,OFFSET(A47,0,(IF(control!$H$2&gt;$B$1-1,IF(control!$H$2&lt;$C$1+1,control!$H$2,1),1))),"please obtain an update from www.vision3000.eu ")</f>
        <v>minimum substitution rate</v>
      </c>
      <c r="B47" s="6" t="s">
        <v>974</v>
      </c>
      <c r="C47" s="6" t="s">
        <v>975</v>
      </c>
    </row>
    <row r="48" spans="1:3" ht="31.2" x14ac:dyDescent="0.3">
      <c r="A48" s="5" t="str">
        <f ca="1">IF(checks!$B$2&lt;checks!$B$1,OFFSET(A48,0,(IF(control!$H$2&gt;$B$1-1,IF(control!$H$2&lt;$C$1+1,control!$H$2,1),1))),"please obtain an update from www.vision3000.eu ")</f>
        <v>year of intensified renewable-energy transition, start BECCS &amp; afforestation</v>
      </c>
      <c r="B48" s="6" t="s">
        <v>1041</v>
      </c>
      <c r="C48" s="6" t="s">
        <v>924</v>
      </c>
    </row>
    <row r="49" spans="1:3" ht="31.2" x14ac:dyDescent="0.3">
      <c r="A49" s="5" t="str">
        <f ca="1">IF(checks!$B$2&lt;checks!$B$1,OFFSET(A49,0,(IF(control!$H$2&gt;$B$1-1,IF(control!$H$2&lt;$C$1+1,control!$H$2,1),1))),"please obtain an update from www.vision3000.eu ")</f>
        <v>year of intensifying renewable-energy transition, etc.</v>
      </c>
      <c r="B49" s="6" t="s">
        <v>1042</v>
      </c>
      <c r="C49" s="6" t="s">
        <v>927</v>
      </c>
    </row>
    <row r="50" spans="1:3" x14ac:dyDescent="0.3">
      <c r="A50" s="5" t="str">
        <f ca="1">IF(checks!$B$2&lt;checks!$B$1,OFFSET(A50,0,(IF(control!$H$2&gt;$B$1-1,IF(control!$H$2&lt;$C$1+1,control!$H$2,1),1))),"please obtain an update from www.vision3000.eu ")</f>
        <v>growth rate solar + wind before intensification</v>
      </c>
      <c r="B50" s="6" t="s">
        <v>104</v>
      </c>
      <c r="C50" s="6" t="s">
        <v>105</v>
      </c>
    </row>
    <row r="51" spans="1:3" x14ac:dyDescent="0.3">
      <c r="A51" s="5" t="str">
        <f ca="1">IF(checks!$B$2&lt;checks!$B$1,OFFSET(A51,0,(IF(control!$H$2&gt;$B$1-1,IF(control!$H$2&lt;$C$1+1,control!$H$2,1),1))),"please obtain an update from www.vision3000.eu ")</f>
        <v>maximum substitution rate before intensification</v>
      </c>
      <c r="B51" s="6" t="s">
        <v>106</v>
      </c>
      <c r="C51" s="6" t="s">
        <v>107</v>
      </c>
    </row>
    <row r="52" spans="1:3" x14ac:dyDescent="0.3">
      <c r="A52" s="5" t="str">
        <f ca="1">IF(checks!$B$2&lt;checks!$B$1,OFFSET(A52,0,(IF(control!$H$2&gt;$B$1-1,IF(control!$H$2&lt;$C$1+1,control!$H$2,1),1))),"please obtain an update from www.vision3000.eu ")</f>
        <v>growth rate solar + wind after intensification</v>
      </c>
      <c r="B52" s="6" t="s">
        <v>108</v>
      </c>
      <c r="C52" s="6" t="s">
        <v>109</v>
      </c>
    </row>
    <row r="53" spans="1:3" x14ac:dyDescent="0.3">
      <c r="A53" s="5" t="str">
        <f ca="1">IF(checks!$B$2&lt;checks!$B$1,OFFSET(A53,0,(IF(control!$H$2&gt;$B$1-1,IF(control!$H$2&lt;$C$1+1,control!$H$2,1),1))),"please obtain an update from www.vision3000.eu ")</f>
        <v>limit max. substitution rate (rel. to reference)</v>
      </c>
      <c r="B53" s="6" t="s">
        <v>969</v>
      </c>
      <c r="C53" s="6" t="s">
        <v>968</v>
      </c>
    </row>
    <row r="54" spans="1:3" x14ac:dyDescent="0.3">
      <c r="A54" s="5" t="str">
        <f ca="1">IF(checks!$B$2&lt;checks!$B$1,OFFSET(A54,0,(IF(control!$H$2&gt;$B$1-1,IF(control!$H$2&lt;$C$1+1,control!$H$2,1),1))),"please obtain an update from www.vision3000.eu ")</f>
        <v>limit max. substitution rate (without CO2 econ.)</v>
      </c>
      <c r="B54" s="6" t="s">
        <v>972</v>
      </c>
      <c r="C54" s="6" t="s">
        <v>973</v>
      </c>
    </row>
    <row r="55" spans="1:3" x14ac:dyDescent="0.3">
      <c r="A55" s="5" t="str">
        <f ca="1">IF(checks!$B$2&lt;checks!$B$1,OFFSET(A55,0,(IF(control!$H$2&gt;$B$1-1,IF(control!$H$2&lt;$C$1+1,control!$H$2,1),1))),"please obtain an update from www.vision3000.eu ")</f>
        <v>real scale growth rate solar + wind</v>
      </c>
      <c r="B55" s="6" t="s">
        <v>110</v>
      </c>
      <c r="C55" s="6" t="s">
        <v>111</v>
      </c>
    </row>
    <row r="56" spans="1:3" x14ac:dyDescent="0.3">
      <c r="A56" s="5" t="str">
        <f ca="1">IF(checks!$B$2&lt;checks!$B$1,OFFSET(A56,0,(IF(control!$H$2&gt;$B$1-1,IF(control!$H$2&lt;$C$1+1,control!$H$2,1),1))),"please obtain an update from www.vision3000.eu ")</f>
        <v>real scale substitution rate</v>
      </c>
      <c r="B56" s="6" t="s">
        <v>112</v>
      </c>
      <c r="C56" s="6" t="s">
        <v>113</v>
      </c>
    </row>
    <row r="57" spans="1:3" x14ac:dyDescent="0.3">
      <c r="A57" s="5" t="str">
        <f ca="1">IF(checks!$B$2&lt;checks!$B$1,OFFSET(A57,0,(IF(control!$H$2&gt;$B$1-1,IF(control!$H$2&lt;$C$1+1,control!$H$2,1),1))),"please obtain an update from www.vision3000.eu ")</f>
        <v>substitution rate chosen</v>
      </c>
      <c r="B57" s="6" t="s">
        <v>114</v>
      </c>
      <c r="C57" s="6" t="s">
        <v>115</v>
      </c>
    </row>
    <row r="58" spans="1:3" x14ac:dyDescent="0.3">
      <c r="A58" s="5" t="str">
        <f ca="1">IF(checks!$B$2&lt;checks!$B$1,OFFSET(A58,0,(IF(control!$H$2&gt;$B$1-1,IF(control!$H$2&lt;$C$1+1,control!$H$2,1),1))),"please obtain an update from www.vision3000.eu ")</f>
        <v>fraction BECCS of primary energy in 2100</v>
      </c>
      <c r="B58" s="6" t="s">
        <v>951</v>
      </c>
      <c r="C58" s="6" t="s">
        <v>952</v>
      </c>
    </row>
    <row r="59" spans="1:3" x14ac:dyDescent="0.3">
      <c r="A59" s="5" t="str">
        <f ca="1">IF(checks!$B$2&lt;checks!$B$1,OFFSET(A59,0,(IF(control!$H$2&gt;$B$1-1,IF(control!$H$2&lt;$C$1+1,control!$H$2,1),1))),"please obtain an update from www.vision3000.eu ")</f>
        <v>contribution of DACCS/BECCS to CO2 removal</v>
      </c>
      <c r="B59" s="6" t="s">
        <v>864</v>
      </c>
      <c r="C59" s="6" t="s">
        <v>865</v>
      </c>
    </row>
    <row r="60" spans="1:3" x14ac:dyDescent="0.3">
      <c r="A60" s="5" t="str">
        <f ca="1">IF(checks!$B$2&lt;checks!$B$1,OFFSET(A60,0,(IF(control!$H$2&gt;$B$1-1,IF(control!$H$2&lt;$C$1+1,control!$H$2,1),1))),"please obtain an update from www.vision3000.eu ")</f>
        <v>Gt CO2 / year</v>
      </c>
      <c r="B60" s="6" t="s">
        <v>1058</v>
      </c>
      <c r="C60" s="6" t="s">
        <v>1064</v>
      </c>
    </row>
    <row r="61" spans="1:3" x14ac:dyDescent="0.3">
      <c r="A61" s="5" t="str">
        <f ca="1">IF(checks!$B$2&lt;checks!$B$1,OFFSET(A61,0,(IF(control!$H$2&gt;$B$1-1,IF(control!$H$2&lt;$C$1+1,control!$H$2,1),1))),"please obtain an update from www.vision3000.eu ")</f>
        <v>fraction CO2-/bio-based fuels of primary energy</v>
      </c>
      <c r="B61" s="6" t="s">
        <v>863</v>
      </c>
      <c r="C61" s="6" t="s">
        <v>858</v>
      </c>
    </row>
    <row r="62" spans="1:3" ht="31.2" x14ac:dyDescent="0.3">
      <c r="A62" s="5" t="str">
        <f ca="1">IF(checks!$B$2&lt;checks!$B$1,OFFSET(A62,0,(IF(control!$H$2&gt;$B$1-1,IF(control!$H$2&lt;$C$1+1,control!$H$2,1),1))),"please obtain an update from www.vision3000.eu ")</f>
        <v>year until which all transitions except energy trans. and DACCS are established</v>
      </c>
      <c r="B62" s="6" t="s">
        <v>932</v>
      </c>
      <c r="C62" s="6" t="s">
        <v>931</v>
      </c>
    </row>
    <row r="63" spans="1:3" x14ac:dyDescent="0.3">
      <c r="A63" s="5" t="str">
        <f ca="1">IF(checks!$B$2&lt;checks!$B$1,OFFSET(A63,0,(IF(control!$H$2&gt;$B$1-1,IF(control!$H$2&lt;$C$1+1,control!$H$2,1),1))),"please obtain an update from www.vision3000.eu ")</f>
        <v>fraction CO2 obtained from atmosphere</v>
      </c>
      <c r="B63" s="6" t="s">
        <v>116</v>
      </c>
      <c r="C63" s="6" t="s">
        <v>117</v>
      </c>
    </row>
    <row r="64" spans="1:3" x14ac:dyDescent="0.3">
      <c r="A64" s="5" t="str">
        <f ca="1">IF(checks!$B$2&lt;checks!$B$1,OFFSET(A64,0,(IF(control!$H$2&gt;$B$1-1,IF(control!$H$2&lt;$C$1+1,control!$H$2,1),1))),"please obtain an update from www.vision3000.eu ")</f>
        <v>material feedstock demand per capita as CH2O</v>
      </c>
      <c r="B64" s="6" t="s">
        <v>892</v>
      </c>
      <c r="C64" s="6" t="s">
        <v>893</v>
      </c>
    </row>
    <row r="65" spans="1:3" ht="31.2" x14ac:dyDescent="0.3">
      <c r="A65" s="5" t="str">
        <f ca="1">IF(checks!$B$2&lt;checks!$B$1,OFFSET(A65,0,(IF(control!$H$2&gt;$B$1-1,IF(control!$H$2&lt;$C$1+1,control!$H$2,1),1))),"please obtain an update from www.vision3000.eu ")</f>
        <v>power-plant efficiency loss due to CCS relative to output</v>
      </c>
      <c r="B65" s="6" t="s">
        <v>884</v>
      </c>
      <c r="C65" s="6" t="s">
        <v>883</v>
      </c>
    </row>
    <row r="66" spans="1:3" x14ac:dyDescent="0.3">
      <c r="A66" s="5" t="str">
        <f ca="1">IF(checks!$B$2&lt;checks!$B$1,OFFSET(A66,0,(IF(control!$H$2&gt;$B$1-1,IF(control!$H$2&lt;$C$1+1,control!$H$2,1),1))),"please obtain an update from www.vision3000.eu ")</f>
        <v>efficiency of carbon capture with BECCS</v>
      </c>
      <c r="B66" s="6" t="s">
        <v>882</v>
      </c>
      <c r="C66" s="6" t="s">
        <v>881</v>
      </c>
    </row>
    <row r="67" spans="1:3" x14ac:dyDescent="0.3">
      <c r="A67" s="5" t="str">
        <f ca="1">IF(checks!$B$2&lt;checks!$B$1,OFFSET(A67,0,(IF(control!$H$2&gt;$B$1-1,IF(control!$H$2&lt;$C$1+1,control!$H$2,1),1))),"please obtain an update from www.vision3000.eu ")</f>
        <v>factor extra energy demand for CO2 conversion</v>
      </c>
      <c r="B67" s="6" t="s">
        <v>118</v>
      </c>
      <c r="C67" s="6" t="s">
        <v>119</v>
      </c>
    </row>
    <row r="68" spans="1:3" x14ac:dyDescent="0.3">
      <c r="A68" s="5" t="str">
        <f ca="1">IF(checks!$B$2&lt;checks!$B$1,OFFSET(A68,0,(IF(control!$H$2&gt;$B$1-1,IF(control!$H$2&lt;$C$1+1,control!$H$2,1),1))),"please obtain an update from www.vision3000.eu ")</f>
        <v>energy required for CO2 recovery from air</v>
      </c>
      <c r="B68" s="6" t="s">
        <v>120</v>
      </c>
      <c r="C68" s="6" t="s">
        <v>121</v>
      </c>
    </row>
    <row r="69" spans="1:3" x14ac:dyDescent="0.3">
      <c r="A69" s="5" t="str">
        <f ca="1">IF(checks!$B$2&lt;checks!$B$1,OFFSET(A69,0,(IF(control!$H$2&gt;$B$1-1,IF(control!$H$2&lt;$C$1+1,control!$H$2,1),1))),"please obtain an update from www.vision3000.eu ")</f>
        <v>add demand CO2 economy &amp; DACCS</v>
      </c>
      <c r="B69" s="6" t="s">
        <v>1044</v>
      </c>
      <c r="C69" s="6" t="s">
        <v>1043</v>
      </c>
    </row>
    <row r="70" spans="1:3" ht="31.2" x14ac:dyDescent="0.3">
      <c r="A70" s="5" t="str">
        <f ca="1">IF(checks!$B$2&lt;checks!$B$1,OFFSET(A70,0,(IF(control!$H$2&gt;$B$1-1,IF(control!$H$2&lt;$C$1+1,control!$H$2,1),1))),"please obtain an update from www.vision3000.eu ")</f>
        <v>efficiency to convert from fossil fuel to electricity/exergy</v>
      </c>
      <c r="B70" s="6" t="s">
        <v>122</v>
      </c>
      <c r="C70" s="6" t="s">
        <v>123</v>
      </c>
    </row>
    <row r="71" spans="1:3" x14ac:dyDescent="0.3">
      <c r="A71" s="5" t="str">
        <f ca="1">IF(checks!$B$2&lt;checks!$B$1,OFFSET(A71,0,(IF(control!$H$2&gt;$B$1-1,IF(control!$H$2&lt;$C$1+1,control!$H$2,1),1))),"please obtain an update from www.vision3000.eu ")</f>
        <v>primary-energy consumption</v>
      </c>
      <c r="B71" s="6" t="s">
        <v>1039</v>
      </c>
      <c r="C71" s="6" t="s">
        <v>124</v>
      </c>
    </row>
    <row r="72" spans="1:3" x14ac:dyDescent="0.3">
      <c r="A72" s="5" t="str">
        <f ca="1">IF(checks!$B$2&lt;checks!$B$1,OFFSET(A72,0,(IF(control!$H$2&gt;$B$1-1,IF(control!$H$2&lt;$C$1+1,control!$H$2,1),1))),"please obtain an update from www.vision3000.eu ")</f>
        <v>solar &amp; wind</v>
      </c>
      <c r="B72" s="9" t="s">
        <v>125</v>
      </c>
      <c r="C72" s="6" t="s">
        <v>126</v>
      </c>
    </row>
    <row r="73" spans="1:3" x14ac:dyDescent="0.3">
      <c r="A73" s="5" t="str">
        <f ca="1">IF(checks!$B$2&lt;checks!$B$1,OFFSET(A73,0,(IF(control!$H$2&gt;$B$1-1,IF(control!$H$2&lt;$C$1+1,control!$H$2,1),1))),"please obtain an update from www.vision3000.eu ")</f>
        <v>wind to 2018</v>
      </c>
      <c r="B73" s="9" t="s">
        <v>829</v>
      </c>
      <c r="C73" s="6" t="s">
        <v>827</v>
      </c>
    </row>
    <row r="74" spans="1:3" x14ac:dyDescent="0.3">
      <c r="A74" s="5" t="str">
        <f ca="1">IF(checks!$B$2&lt;checks!$B$1,OFFSET(A74,0,(IF(control!$H$2&gt;$B$1-1,IF(control!$H$2&lt;$C$1+1,control!$H$2,1),1))),"please obtain an update from www.vision3000.eu ")</f>
        <v>solar to 2018</v>
      </c>
      <c r="B74" s="9" t="s">
        <v>830</v>
      </c>
      <c r="C74" s="6" t="s">
        <v>828</v>
      </c>
    </row>
    <row r="75" spans="1:3" x14ac:dyDescent="0.3">
      <c r="A75" s="5" t="str">
        <f ca="1">IF(checks!$B$2&lt;checks!$B$1,OFFSET(A75,0,(IF(control!$H$2&gt;$B$1-1,IF(control!$H$2&lt;$C$1+1,control!$H$2,1),1))),"please obtain an update from www.vision3000.eu ")</f>
        <v>BECCS</v>
      </c>
      <c r="B75" s="9" t="s">
        <v>309</v>
      </c>
      <c r="C75" s="6" t="s">
        <v>309</v>
      </c>
    </row>
    <row r="76" spans="1:3" x14ac:dyDescent="0.3">
      <c r="A76" s="5" t="str">
        <f ca="1">IF(checks!$B$2&lt;checks!$B$1,OFFSET(A76,0,(IF(control!$H$2&gt;$B$1-1,IF(control!$H$2&lt;$C$1+1,control!$H$2,1),1))),"please obtain an update from www.vision3000.eu ")</f>
        <v>bio/CO2-fuels</v>
      </c>
      <c r="B76" s="9" t="s">
        <v>922</v>
      </c>
      <c r="C76" s="6" t="s">
        <v>921</v>
      </c>
    </row>
    <row r="77" spans="1:3" x14ac:dyDescent="0.3">
      <c r="A77" s="5" t="str">
        <f ca="1">IF(checks!$B$2&lt;checks!$B$1,OFFSET(A77,0,(IF(control!$H$2&gt;$B$1-1,IF(control!$H$2&lt;$C$1+1,control!$H$2,1),1))),"please obtain an update from www.vision3000.eu ")</f>
        <v>hydro electricity</v>
      </c>
      <c r="B77" s="9" t="s">
        <v>129</v>
      </c>
      <c r="C77" s="6" t="s">
        <v>130</v>
      </c>
    </row>
    <row r="78" spans="1:3" x14ac:dyDescent="0.3">
      <c r="A78" s="5" t="str">
        <f ca="1">IF(checks!$B$2&lt;checks!$B$1,OFFSET(A78,0,(IF(control!$H$2&gt;$B$1-1,IF(control!$H$2&lt;$C$1+1,control!$H$2,1),1))),"please obtain an update from www.vision3000.eu ")</f>
        <v>fossils from 2019</v>
      </c>
      <c r="B78" s="9" t="s">
        <v>831</v>
      </c>
      <c r="C78" s="6" t="s">
        <v>832</v>
      </c>
    </row>
    <row r="79" spans="1:3" x14ac:dyDescent="0.3">
      <c r="A79" s="5" t="str">
        <f ca="1">IF(checks!$B$2&lt;checks!$B$1,OFFSET(A79,0,(IF(control!$H$2&gt;$B$1-1,IF(control!$H$2&lt;$C$1+1,control!$H$2,1),1))),"please obtain an update from www.vision3000.eu ")</f>
        <v>nuclear</v>
      </c>
      <c r="B79" s="9" t="s">
        <v>131</v>
      </c>
      <c r="C79" s="6" t="s">
        <v>132</v>
      </c>
    </row>
    <row r="80" spans="1:3" x14ac:dyDescent="0.3">
      <c r="A80" s="5" t="str">
        <f ca="1">IF(checks!$B$2&lt;checks!$B$1,OFFSET(A80,0,(IF(control!$H$2&gt;$B$1-1,IF(control!$H$2&lt;$C$1+1,control!$H$2,1),1))),"please obtain an update from www.vision3000.eu ")</f>
        <v>coal</v>
      </c>
      <c r="B80" s="10" t="s">
        <v>133</v>
      </c>
      <c r="C80" s="6" t="s">
        <v>134</v>
      </c>
    </row>
    <row r="81" spans="1:3" x14ac:dyDescent="0.3">
      <c r="A81" s="5" t="str">
        <f ca="1">IF(checks!$B$2&lt;checks!$B$1,OFFSET(A81,0,(IF(control!$H$2&gt;$B$1-1,IF(control!$H$2&lt;$C$1+1,control!$H$2,1),1))),"please obtain an update from www.vision3000.eu ")</f>
        <v>natural gas</v>
      </c>
      <c r="B81" s="10" t="s">
        <v>135</v>
      </c>
      <c r="C81" s="6" t="s">
        <v>136</v>
      </c>
    </row>
    <row r="82" spans="1:3" x14ac:dyDescent="0.3">
      <c r="A82" s="5" t="str">
        <f ca="1">IF(checks!$B$2&lt;checks!$B$1,OFFSET(A82,0,(IF(control!$H$2&gt;$B$1-1,IF(control!$H$2&lt;$C$1+1,control!$H$2,1),1))),"please obtain an update from www.vision3000.eu ")</f>
        <v>crude oil</v>
      </c>
      <c r="B82" s="10" t="s">
        <v>137</v>
      </c>
      <c r="C82" s="6" t="s">
        <v>138</v>
      </c>
    </row>
    <row r="83" spans="1:3" x14ac:dyDescent="0.3">
      <c r="A83" s="5" t="str">
        <f ca="1">IF(checks!$B$2&lt;checks!$B$1,OFFSET(A83,0,(IF(control!$H$2&gt;$B$1-1,IF(control!$H$2&lt;$C$1+1,control!$H$2,1),1))),"please obtain an update from www.vision3000.eu ")</f>
        <v>year</v>
      </c>
      <c r="B83" s="10" t="s">
        <v>139</v>
      </c>
      <c r="C83" s="10" t="s">
        <v>140</v>
      </c>
    </row>
    <row r="84" spans="1:3" x14ac:dyDescent="0.3">
      <c r="A84" s="5" t="str">
        <f ca="1">IF(checks!$B$2&lt;checks!$B$1,OFFSET(A84,0,(IF(control!$H$2&gt;$B$1-1,IF(control!$H$2&lt;$C$1+1,control!$H$2,1),1))),"please obtain an update from www.vision3000.eu ")</f>
        <v>too many</v>
      </c>
      <c r="B84" s="10" t="s">
        <v>141</v>
      </c>
      <c r="C84" s="6" t="s">
        <v>142</v>
      </c>
    </row>
    <row r="85" spans="1:3" x14ac:dyDescent="0.3">
      <c r="A85" s="5" t="str">
        <f ca="1">IF(checks!$B$2&lt;checks!$B$1,OFFSET(A85,0,(IF(control!$H$2&gt;$B$1-1,IF(control!$H$2&lt;$C$1+1,control!$H$2,1),1))),"please obtain an update from www.vision3000.eu ")</f>
        <v>centuries</v>
      </c>
      <c r="B85" s="10" t="s">
        <v>143</v>
      </c>
      <c r="C85" s="6" t="s">
        <v>144</v>
      </c>
    </row>
    <row r="86" spans="1:3" ht="31.2" x14ac:dyDescent="0.3">
      <c r="A86" s="5" t="str">
        <f ca="1">IF(checks!$B$2&lt;checks!$B$1,OFFSET(A86,0,(IF(control!$H$2&gt;$B$1-1,IF(control!$H$2&lt;$C$1+1,control!$H$2,1),1))),"please obtain an update from www.vision3000.eu ")</f>
        <v>slope of temperature vs. total CO2 emitted for 66th percentile</v>
      </c>
      <c r="B86" s="10" t="s">
        <v>145</v>
      </c>
      <c r="C86" s="6" t="s">
        <v>146</v>
      </c>
    </row>
    <row r="87" spans="1:3" ht="31.2" x14ac:dyDescent="0.3">
      <c r="A87" s="5" t="str">
        <f ca="1">IF(checks!$B$2&lt;checks!$B$1,OFFSET(A87,0,(IF(control!$H$2&gt;$B$1-1,IF(control!$H$2&lt;$C$1+1,control!$H$2,1),1))),"please obtain an update from www.vision3000.eu ")</f>
        <v>slope of temperature vs. total CO2 emitted for 50th percentile</v>
      </c>
      <c r="B87" s="10" t="s">
        <v>147</v>
      </c>
      <c r="C87" s="6" t="s">
        <v>148</v>
      </c>
    </row>
    <row r="88" spans="1:3" ht="31.2" x14ac:dyDescent="0.3">
      <c r="A88" s="5" t="str">
        <f ca="1">IF(checks!$B$2&lt;checks!$B$1,OFFSET(A88,0,(IF(control!$H$2&gt;$B$1-1,IF(control!$H$2&lt;$C$1+1,control!$H$2,1),1))),"please obtain an update from www.vision3000.eu ")</f>
        <v>slope of temperature vs. total CO2 emitted for 33rd percentile</v>
      </c>
      <c r="B88" s="10" t="s">
        <v>149</v>
      </c>
      <c r="C88" s="6" t="s">
        <v>150</v>
      </c>
    </row>
    <row r="89" spans="1:3" ht="31.2" x14ac:dyDescent="0.3">
      <c r="A89" s="5" t="str">
        <f ca="1">IF(checks!$B$2&lt;checks!$B$1,OFFSET(A89,0,(IF(control!$H$2&gt;$B$1-1,IF(control!$H$2&lt;$C$1+1,control!$H$2,1),1))),"please obtain an update from www.vision3000.eu ")</f>
        <v>intercept of temperature vs. total CO2 emitted: CO2 emitted</v>
      </c>
      <c r="B89" s="10" t="s">
        <v>151</v>
      </c>
      <c r="C89" s="6" t="s">
        <v>152</v>
      </c>
    </row>
    <row r="90" spans="1:3" ht="31.2" x14ac:dyDescent="0.3">
      <c r="A90" s="5" t="str">
        <f ca="1">IF(checks!$B$2&lt;checks!$B$1,OFFSET(A90,0,(IF(control!$H$2&gt;$B$1-1,IF(control!$H$2&lt;$C$1+1,control!$H$2,1),1))),"please obtain an update from www.vision3000.eu ")</f>
        <v>intercept of temperature vs. total CO2 emitted: temperature</v>
      </c>
      <c r="B90" s="10" t="s">
        <v>153</v>
      </c>
      <c r="C90" s="6" t="s">
        <v>154</v>
      </c>
    </row>
    <row r="91" spans="1:3" x14ac:dyDescent="0.3">
      <c r="A91" s="5" t="str">
        <f ca="1">IF(checks!$B$2&lt;checks!$B$1,OFFSET(A91,0,(IF(control!$H$2&gt;$B$1-1,IF(control!$H$2&lt;$C$1+1,control!$H$2,1),1))),"please obtain an update from www.vision3000.eu ")</f>
        <v>increases</v>
      </c>
      <c r="B91" s="10" t="s">
        <v>155</v>
      </c>
      <c r="C91" s="6" t="s">
        <v>156</v>
      </c>
    </row>
    <row r="92" spans="1:3" x14ac:dyDescent="0.3">
      <c r="A92" s="5" t="str">
        <f ca="1">IF(checks!$B$2&lt;checks!$B$1,OFFSET(A92,0,(IF(control!$H$2&gt;$B$1-1,IF(control!$H$2&lt;$C$1+1,control!$H$2,1),1))),"please obtain an update from www.vision3000.eu ")</f>
        <v>after 2100</v>
      </c>
      <c r="B92" s="10" t="s">
        <v>157</v>
      </c>
      <c r="C92" s="6" t="s">
        <v>158</v>
      </c>
    </row>
    <row r="93" spans="1:3" ht="31.2" x14ac:dyDescent="0.3">
      <c r="A93" s="5" t="str">
        <f ca="1">IF(checks!$B$2&lt;checks!$B$1,OFFSET(A93,0,(IF(control!$H$2&gt;$B$1-1,IF(control!$H$2&lt;$C$1+1,control!$H$2,1),1))),"please obtain an update from www.vision3000.eu ")</f>
        <v>minimum fraction bio-/CO2-fuels for planes and ships of primary energy</v>
      </c>
      <c r="B93" s="10" t="s">
        <v>159</v>
      </c>
      <c r="C93" s="6" t="s">
        <v>160</v>
      </c>
    </row>
    <row r="94" spans="1:3" ht="31.2" x14ac:dyDescent="0.3">
      <c r="A94" s="5" t="str">
        <f ca="1">IF(checks!$B$2&lt;checks!$B$1,OFFSET(A94,0,(IF(control!$H$2&gt;$B$1-1,IF(control!$H$2&lt;$C$1+1,control!$H$2,1),1))),"please obtain an update from www.vision3000.eu ")</f>
        <v>average annual growth factor of cropland during last 8 years</v>
      </c>
      <c r="B94" s="11" t="s">
        <v>161</v>
      </c>
      <c r="C94" s="6" t="s">
        <v>162</v>
      </c>
    </row>
    <row r="95" spans="1:3" ht="31.2" x14ac:dyDescent="0.3">
      <c r="A95" s="5" t="str">
        <f ca="1">IF(checks!$B$2&lt;checks!$B$1,OFFSET(A95,0,(IF(control!$H$2&gt;$B$1-1,IF(control!$H$2&lt;$C$1+1,control!$H$2,1),1))),"please obtain an update from www.vision3000.eu ")</f>
        <v>annual growth factor permanent meadows and pastures, average 8 years</v>
      </c>
      <c r="B95" s="6" t="s">
        <v>163</v>
      </c>
      <c r="C95" s="6" t="s">
        <v>164</v>
      </c>
    </row>
    <row r="96" spans="1:3" x14ac:dyDescent="0.3">
      <c r="A96" s="5" t="str">
        <f ca="1">IF(checks!$B$2&lt;checks!$B$1,OFFSET(A96,0,(IF(control!$H$2&gt;$B$1-1,IF(control!$H$2&lt;$C$1+1,control!$H$2,1),1))),"please obtain an update from www.vision3000.eu ")</f>
        <v>annual growth factor forest land, average 8 years</v>
      </c>
      <c r="B96" s="6" t="s">
        <v>165</v>
      </c>
      <c r="C96" s="6" t="s">
        <v>166</v>
      </c>
    </row>
    <row r="97" spans="1:3" x14ac:dyDescent="0.3">
      <c r="A97" s="5" t="str">
        <f ca="1">IF(checks!$B$2&lt;checks!$B$1,OFFSET(A97,0,(IF(control!$H$2&gt;$B$1-1,IF(control!$H$2&lt;$C$1+1,control!$H$2,1),1))),"please obtain an update from www.vision3000.eu ")</f>
        <v>slope of food supply from quadratic fit</v>
      </c>
      <c r="B97" s="6" t="s">
        <v>167</v>
      </c>
      <c r="C97" s="6" t="s">
        <v>168</v>
      </c>
    </row>
    <row r="98" spans="1:3" x14ac:dyDescent="0.3">
      <c r="A98" s="5" t="str">
        <f ca="1">IF(checks!$B$2&lt;checks!$B$1,OFFSET(A98,0,(IF(control!$H$2&gt;$B$1-1,IF(control!$H$2&lt;$C$1+1,control!$H$2,1),1))),"please obtain an update from www.vision3000.eu ")</f>
        <v>quadratic term of food supply from quadratic fit</v>
      </c>
      <c r="B98" s="6" t="s">
        <v>169</v>
      </c>
      <c r="C98" s="6" t="s">
        <v>170</v>
      </c>
    </row>
    <row r="99" spans="1:3" x14ac:dyDescent="0.3">
      <c r="A99" s="5" t="str">
        <f ca="1">IF(checks!$B$2&lt;checks!$B$1,OFFSET(A99,0,(IF(control!$H$2&gt;$B$1-1,IF(control!$H$2&lt;$C$1+1,control!$H$2,1),1))),"please obtain an update from www.vision3000.eu ")</f>
        <v>chosen factor for future increase of food supply</v>
      </c>
      <c r="B99" s="6" t="s">
        <v>171</v>
      </c>
      <c r="C99" s="6" t="s">
        <v>172</v>
      </c>
    </row>
    <row r="100" spans="1:3" x14ac:dyDescent="0.3">
      <c r="A100" s="5" t="str">
        <f ca="1">IF(checks!$B$2&lt;checks!$B$1,OFFSET(A100,0,(IF(control!$H$2&gt;$B$1-1,IF(control!$H$2&lt;$C$1+1,control!$H$2,1),1))),"please obtain an update from www.vision3000.eu ")</f>
        <v>food supply</v>
      </c>
      <c r="B100" s="6" t="s">
        <v>173</v>
      </c>
      <c r="C100" s="6" t="s">
        <v>174</v>
      </c>
    </row>
    <row r="101" spans="1:3" x14ac:dyDescent="0.3">
      <c r="A101" s="5" t="str">
        <f ca="1">IF(checks!$B$2&lt;checks!$B$1,OFFSET(A101,0,(IF(control!$H$2&gt;$B$1-1,IF(control!$H$2&lt;$C$1+1,control!$H$2,1),1))),"please obtain an update from www.vision3000.eu ")</f>
        <v>historical data</v>
      </c>
      <c r="B101" s="6" t="s">
        <v>175</v>
      </c>
      <c r="C101" s="6" t="s">
        <v>176</v>
      </c>
    </row>
    <row r="102" spans="1:3" x14ac:dyDescent="0.3">
      <c r="A102" s="5" t="str">
        <f ca="1">IF(checks!$B$2&lt;checks!$B$1,OFFSET(A102,0,(IF(control!$H$2&gt;$B$1-1,IF(control!$H$2&lt;$C$1+1,control!$H$2,1),1))),"please obtain an update from www.vision3000.eu ")</f>
        <v>future data</v>
      </c>
      <c r="B102" s="6" t="s">
        <v>177</v>
      </c>
      <c r="C102" s="6" t="s">
        <v>178</v>
      </c>
    </row>
    <row r="103" spans="1:3" x14ac:dyDescent="0.3">
      <c r="A103" s="5" t="str">
        <f ca="1">IF(checks!$B$2&lt;checks!$B$1,OFFSET(A103,0,(IF(control!$H$2&gt;$B$1-1,IF(control!$H$2&lt;$C$1+1,control!$H$2,1),1))),"please obtain an update from www.vision3000.eu ")</f>
        <v>fraction animal-based food</v>
      </c>
      <c r="B103" s="9" t="s">
        <v>179</v>
      </c>
      <c r="C103" s="6" t="s">
        <v>180</v>
      </c>
    </row>
    <row r="104" spans="1:3" x14ac:dyDescent="0.3">
      <c r="A104" s="5" t="str">
        <f ca="1">IF(checks!$B$2&lt;checks!$B$1,OFFSET(A104,0,(IF(control!$H$2&gt;$B$1-1,IF(control!$H$2&lt;$C$1+1,control!$H$2,1),1))),"please obtain an update from www.vision3000.eu ")</f>
        <v>fraction animal-based food</v>
      </c>
      <c r="B104" s="6" t="s">
        <v>179</v>
      </c>
      <c r="C104" s="6" t="s">
        <v>181</v>
      </c>
    </row>
    <row r="105" spans="1:3" x14ac:dyDescent="0.3">
      <c r="A105" s="5" t="str">
        <f ca="1">IF(checks!$B$2&lt;checks!$B$1,OFFSET(A105,0,(IF(control!$H$2&gt;$B$1-1,IF(control!$H$2&lt;$C$1+1,control!$H$2,1),1))),"please obtain an update from www.vision3000.eu ")</f>
        <v>China</v>
      </c>
      <c r="B105" s="6" t="s">
        <v>182</v>
      </c>
      <c r="C105" s="6" t="s">
        <v>182</v>
      </c>
    </row>
    <row r="106" spans="1:3" x14ac:dyDescent="0.3">
      <c r="A106" s="5" t="str">
        <f ca="1">IF(checks!$B$2&lt;checks!$B$1,OFFSET(A106,0,(IF(control!$H$2&gt;$B$1-1,IF(control!$H$2&lt;$C$1+1,control!$H$2,1),1))),"please obtain an update from www.vision3000.eu ")</f>
        <v>Germany</v>
      </c>
      <c r="B106" s="6" t="s">
        <v>183</v>
      </c>
      <c r="C106" s="6" t="s">
        <v>184</v>
      </c>
    </row>
    <row r="107" spans="1:3" x14ac:dyDescent="0.3">
      <c r="A107" s="5" t="str">
        <f ca="1">IF(checks!$B$2&lt;checks!$B$1,OFFSET(A107,0,(IF(control!$H$2&gt;$B$1-1,IF(control!$H$2&lt;$C$1+1,control!$H$2,1),1))),"please obtain an update from www.vision3000.eu ")</f>
        <v>India</v>
      </c>
      <c r="B107" s="6" t="s">
        <v>185</v>
      </c>
      <c r="C107" s="6" t="s">
        <v>186</v>
      </c>
    </row>
    <row r="108" spans="1:3" x14ac:dyDescent="0.3">
      <c r="A108" s="5" t="str">
        <f ca="1">IF(checks!$B$2&lt;checks!$B$1,OFFSET(A108,0,(IF(control!$H$2&gt;$B$1-1,IF(control!$H$2&lt;$C$1+1,control!$H$2,1),1))),"please obtain an update from www.vision3000.eu ")</f>
        <v>USA</v>
      </c>
      <c r="B108" s="6" t="s">
        <v>187</v>
      </c>
      <c r="C108" s="6" t="s">
        <v>187</v>
      </c>
    </row>
    <row r="109" spans="1:3" ht="31.2" x14ac:dyDescent="0.3">
      <c r="A109" s="5" t="str">
        <f ca="1">IF(checks!$B$2&lt;checks!$B$1,OFFSET(A109,0,(IF(control!$H$2&gt;$B$1-1,IF(control!$H$2&lt;$C$1+1,control!$H$2,1),1))),"please obtain an update from www.vision3000.eu ")</f>
        <v>world 
historic</v>
      </c>
      <c r="B109" s="6" t="s">
        <v>188</v>
      </c>
      <c r="C109" s="6" t="s">
        <v>189</v>
      </c>
    </row>
    <row r="110" spans="1:3" x14ac:dyDescent="0.3">
      <c r="A110" s="5" t="str">
        <f ca="1">IF(checks!$B$2&lt;checks!$B$1,OFFSET(A110,0,(IF(control!$H$2&gt;$B$1-1,IF(control!$H$2&lt;$C$1+1,control!$H$2,1),1))),"please obtain an update from www.vision3000.eu ")</f>
        <v>world future</v>
      </c>
      <c r="B110" s="6" t="s">
        <v>190</v>
      </c>
      <c r="C110" s="6" t="s">
        <v>191</v>
      </c>
    </row>
    <row r="111" spans="1:3" ht="31.2" x14ac:dyDescent="0.3">
      <c r="A111" s="5" t="str">
        <f ca="1">IF(checks!$B$2&lt;checks!$B$1,OFFSET(A111,0,(IF(control!$H$2&gt;$B$1-1,IF(control!$H$2&lt;$C$1+1,control!$H$2,1),1))),"please obtain an update from www.vision3000.eu ")</f>
        <v>real scale quadratic term for animal-based food fraction</v>
      </c>
      <c r="B111" s="6" t="s">
        <v>192</v>
      </c>
      <c r="C111" s="6" t="s">
        <v>193</v>
      </c>
    </row>
    <row r="112" spans="1:3" x14ac:dyDescent="0.3">
      <c r="A112" s="5" t="str">
        <f ca="1">IF(checks!$B$2&lt;checks!$B$1,OFFSET(A112,0,(IF(control!$H$2&gt;$B$1-1,IF(control!$H$2&lt;$C$1+1,control!$H$2,1),1))),"please obtain an update from www.vision3000.eu ")</f>
        <v>plant-based food</v>
      </c>
      <c r="B112" s="6" t="s">
        <v>194</v>
      </c>
      <c r="C112" s="6" t="s">
        <v>195</v>
      </c>
    </row>
    <row r="113" spans="1:3" x14ac:dyDescent="0.3">
      <c r="A113" s="5" t="str">
        <f ca="1">IF(checks!$B$2&lt;checks!$B$1,OFFSET(A113,0,(IF(control!$H$2&gt;$B$1-1,IF(control!$H$2&lt;$C$1+1,control!$H$2,1),1))),"please obtain an update from www.vision3000.eu ")</f>
        <v>animal-based food</v>
      </c>
      <c r="B113" s="6" t="s">
        <v>196</v>
      </c>
      <c r="C113" s="6" t="s">
        <v>197</v>
      </c>
    </row>
    <row r="114" spans="1:3" x14ac:dyDescent="0.3">
      <c r="A114" s="5" t="str">
        <f ca="1">IF(checks!$B$2&lt;checks!$B$1,OFFSET(A114,0,(IF(control!$H$2&gt;$B$1-1,IF(control!$H$2&lt;$C$1+1,control!$H$2,1),1))),"please obtain an update from www.vision3000.eu ")</f>
        <v>food supply</v>
      </c>
      <c r="B114" s="6" t="s">
        <v>173</v>
      </c>
      <c r="C114" s="6" t="s">
        <v>198</v>
      </c>
    </row>
    <row r="115" spans="1:3" x14ac:dyDescent="0.3">
      <c r="A115" s="5" t="str">
        <f ca="1">IF(checks!$B$2&lt;checks!$B$1,OFFSET(A115,0,(IF(control!$H$2&gt;$B$1-1,IF(control!$H$2&lt;$C$1+1,control!$H$2,1),1))),"please obtain an update from www.vision3000.eu ")</f>
        <v>results</v>
      </c>
      <c r="B115" s="6" t="s">
        <v>199</v>
      </c>
      <c r="C115" s="6" t="s">
        <v>200</v>
      </c>
    </row>
    <row r="116" spans="1:3" ht="31.2" x14ac:dyDescent="0.3">
      <c r="A116" s="5" t="str">
        <f ca="1">IF(checks!$B$2&lt;checks!$B$1,OFFSET(A116,0,(IF(control!$H$2&gt;$B$1-1,IF(control!$H$2&lt;$C$1+1,control!$H$2,1),1))),"please obtain an update from www.vision3000.eu ")</f>
        <v>fossil-fuel consumption ended / DACCS established in</v>
      </c>
      <c r="B116" s="6" t="s">
        <v>923</v>
      </c>
      <c r="C116" s="6" t="s">
        <v>1038</v>
      </c>
    </row>
    <row r="117" spans="1:3" x14ac:dyDescent="0.3">
      <c r="A117" s="5" t="str">
        <f ca="1">IF(checks!$B$2&lt;checks!$B$1,OFFSET(A117,0,(IF(control!$H$2&gt;$B$1-1,IF(control!$H$2&lt;$C$1+1,control!$H$2,1),1))),"please obtain an update from www.vision3000.eu ")</f>
        <v>accumulated CO2 emitted between 1875 and 2100</v>
      </c>
      <c r="B117" s="6" t="s">
        <v>201</v>
      </c>
      <c r="C117" s="6" t="s">
        <v>202</v>
      </c>
    </row>
    <row r="118" spans="1:3" x14ac:dyDescent="0.3">
      <c r="A118" s="5" t="str">
        <f ca="1">IF(checks!$B$2&lt;checks!$B$1,OFFSET(A118,0,(IF(control!$H$2&gt;$B$1-1,IF(control!$H$2&lt;$C$1+1,control!$H$2,1),1))),"please obtain an update from www.vision3000.eu ")</f>
        <v>effect of all land-use change after 2100</v>
      </c>
      <c r="B118" s="6" t="s">
        <v>1166</v>
      </c>
      <c r="C118" s="6" t="s">
        <v>1167</v>
      </c>
    </row>
    <row r="119" spans="1:3" ht="31.2" x14ac:dyDescent="0.3">
      <c r="A119" s="5" t="str">
        <f ca="1">IF(checks!$B$2&lt;checks!$B$1,OFFSET(A119,0,(IF(control!$H$2&gt;$B$1-1,IF(control!$H$2&lt;$C$1+1,control!$H$2,1),1))),"please obtain an update from www.vision3000.eu ")</f>
        <v>temperature increase 2100 above average 1850 to 1900</v>
      </c>
      <c r="B119" s="6" t="s">
        <v>838</v>
      </c>
      <c r="C119" s="6" t="s">
        <v>837</v>
      </c>
    </row>
    <row r="120" spans="1:3" x14ac:dyDescent="0.3">
      <c r="A120" s="5" t="str">
        <f ca="1">IF(checks!$B$2&lt;checks!$B$1,OFFSET(A120,0,(IF(control!$H$2&gt;$B$1-1,IF(control!$H$2&lt;$C$1+1,control!$H$2,1),1))),"please obtain an update from www.vision3000.eu ")</f>
        <v>when after today all anthropogenic CO2 captured</v>
      </c>
      <c r="B120" s="6" t="s">
        <v>1014</v>
      </c>
      <c r="C120" s="6" t="s">
        <v>1015</v>
      </c>
    </row>
    <row r="121" spans="1:3" x14ac:dyDescent="0.3">
      <c r="A121" s="5" t="str">
        <f ca="1">IF(checks!$B$2&lt;checks!$B$1,OFFSET(A121,0,(IF(control!$H$2&gt;$B$1-1,IF(control!$H$2&lt;$C$1+1,control!$H$2,1),1))),"please obtain an update from www.vision3000.eu ")</f>
        <v>substitution rate</v>
      </c>
      <c r="B121" s="6" t="s">
        <v>203</v>
      </c>
      <c r="C121" s="6" t="s">
        <v>204</v>
      </c>
    </row>
    <row r="122" spans="1:3" x14ac:dyDescent="0.3">
      <c r="A122" s="5" t="str">
        <f ca="1">IF(checks!$B$2&lt;checks!$B$1,OFFSET(A122,0,(IF(control!$H$2&gt;$B$1-1,IF(control!$H$2&lt;$C$1+1,control!$H$2,1),1))),"please obtain an update from www.vision3000.eu ")</f>
        <v>global warming</v>
      </c>
      <c r="B122" s="6" t="s">
        <v>205</v>
      </c>
      <c r="C122" s="6" t="s">
        <v>206</v>
      </c>
    </row>
    <row r="123" spans="1:3" x14ac:dyDescent="0.3">
      <c r="A123" s="5" t="str">
        <f ca="1">IF(checks!$B$2&lt;checks!$B$1,OFFSET(A123,0,(IF(control!$H$2&gt;$B$1-1,IF(control!$H$2&lt;$C$1+1,control!$H$2,1),1))),"please obtain an update from www.vision3000.eu ")</f>
        <v>land area</v>
      </c>
      <c r="B123" s="6" t="s">
        <v>207</v>
      </c>
      <c r="C123" s="6" t="s">
        <v>208</v>
      </c>
    </row>
    <row r="124" spans="1:3" x14ac:dyDescent="0.3">
      <c r="A124" s="5" t="str">
        <f ca="1">IF(checks!$B$2&lt;checks!$B$1,OFFSET(A124,0,(IF(control!$H$2&gt;$B$1-1,IF(control!$H$2&lt;$C$1+1,control!$H$2,1),1))),"please obtain an update from www.vision3000.eu ")</f>
        <v>nutrition</v>
      </c>
      <c r="B124" s="6" t="s">
        <v>209</v>
      </c>
      <c r="C124" s="6" t="s">
        <v>210</v>
      </c>
    </row>
    <row r="125" spans="1:3" x14ac:dyDescent="0.3">
      <c r="A125" s="5" t="str">
        <f ca="1">IF(checks!$B$2&lt;checks!$B$1,OFFSET(A125,0,(IF(control!$H$2&gt;$B$1-1,IF(control!$H$2&lt;$C$1+1,control!$H$2,1),1))),"please obtain an update from www.vision3000.eu ")</f>
        <v>CO2 emitted &amp; captured</v>
      </c>
      <c r="B125" s="6" t="s">
        <v>211</v>
      </c>
      <c r="C125" s="6" t="s">
        <v>212</v>
      </c>
    </row>
    <row r="126" spans="1:3" x14ac:dyDescent="0.3">
      <c r="A126" s="5" t="str">
        <f ca="1">IF(checks!$B$2&lt;checks!$B$1,OFFSET(A126,0,(IF(control!$H$2&gt;$B$1-1,IF(control!$H$2&lt;$C$1+1,control!$H$2,1),1))),"please obtain an update from www.vision3000.eu ")</f>
        <v>net emitted</v>
      </c>
      <c r="B126" s="6" t="s">
        <v>213</v>
      </c>
      <c r="C126" s="6" t="s">
        <v>214</v>
      </c>
    </row>
    <row r="127" spans="1:3" x14ac:dyDescent="0.3">
      <c r="A127" s="5" t="str">
        <f ca="1">IF(checks!$B$2&lt;checks!$B$1,OFFSET(A127,0,(IF(control!$H$2&gt;$B$1-1,IF(control!$H$2&lt;$C$1+1,control!$H$2,1),1))),"please obtain an update from www.vision3000.eu ")</f>
        <v>captured</v>
      </c>
      <c r="B127" s="6" t="s">
        <v>215</v>
      </c>
      <c r="C127" s="6" t="s">
        <v>216</v>
      </c>
    </row>
    <row r="128" spans="1:3" x14ac:dyDescent="0.3">
      <c r="A128" s="5" t="str">
        <f ca="1">IF(checks!$B$2&lt;checks!$B$1,OFFSET(A128,0,(IF(control!$H$2&gt;$B$1-1,IF(control!$H$2&lt;$C$1+1,control!$H$2,1),1))),"please obtain an update from www.vision3000.eu ")</f>
        <v>global average temperature</v>
      </c>
      <c r="B128" s="6" t="s">
        <v>217</v>
      </c>
      <c r="C128" s="6" t="s">
        <v>218</v>
      </c>
    </row>
    <row r="129" spans="1:4" x14ac:dyDescent="0.3">
      <c r="A129" s="5" t="str">
        <f ca="1">IF(checks!$B$2&lt;checks!$B$1,OFFSET(A129,0,(IF(control!$H$2&gt;$B$1-1,IF(control!$H$2&lt;$C$1+1,control!$H$2,1),1))),"please obtain an update from www.vision3000.eu ")</f>
        <v>caution messages</v>
      </c>
      <c r="B129" s="6" t="s">
        <v>219</v>
      </c>
      <c r="C129" s="6" t="s">
        <v>220</v>
      </c>
    </row>
    <row r="130" spans="1:4" x14ac:dyDescent="0.3">
      <c r="A130" s="5" t="str">
        <f ca="1">IF(checks!$B$2&lt;checks!$B$1,OFFSET(A130,0,(IF(control!$H$2&gt;$B$1-1,IF(control!$H$2&lt;$C$1+1,control!$H$2,1),1))),"please obtain an update from www.vision3000.eu ")</f>
        <v>warnings</v>
      </c>
      <c r="B130" s="6" t="s">
        <v>221</v>
      </c>
      <c r="C130" s="6" t="s">
        <v>222</v>
      </c>
    </row>
    <row r="131" spans="1:4" ht="62.4" x14ac:dyDescent="0.3">
      <c r="A131" s="5" t="str">
        <f ca="1">IF(checks!$B$2&lt;checks!$B$1,OFFSET(A131,0,(IF(control!$H$2&gt;$B$1-1,IF(control!$H$2&lt;$C$1+1,control!$H$2,1),1))),"please obtain an update from www.vision3000.eu ")</f>
        <v xml:space="preserve">
Warning: The global mean temperature will increase by more than 2°C above pre-industrial level!</v>
      </c>
      <c r="B131" s="6" t="s">
        <v>223</v>
      </c>
      <c r="C131" s="6" t="s">
        <v>224</v>
      </c>
    </row>
    <row r="132" spans="1:4" ht="46.8" x14ac:dyDescent="0.3">
      <c r="A132" s="5" t="str">
        <f ca="1">IF(checks!$B$2&lt;checks!$B$1,OFFSET(A132,0,(IF(control!$H$2&gt;$B$1-1,IF(control!$H$2&lt;$C$1+1,control!$H$2,1),1))),"please obtain an update from www.vision3000.eu ")</f>
        <v xml:space="preserve">
Warning: The global mean temperature keeps increasing at the end of the 21st century!</v>
      </c>
      <c r="B132" s="6" t="s">
        <v>225</v>
      </c>
      <c r="C132" s="6" t="s">
        <v>226</v>
      </c>
    </row>
    <row r="133" spans="1:4" s="315" customFormat="1" ht="62.4" x14ac:dyDescent="0.3">
      <c r="A133" s="5" t="str">
        <f ca="1">IF(checks!$B$2&lt;checks!$B$1,OFFSET(A133,0,(IF(control!$H$2&gt;$B$1-1,IF(control!$H$2&lt;$C$1+1,control!$H$2,1),1))),"please obtain an update from www.vision3000.eu ")</f>
        <v xml:space="preserve">
Warning: There is not enough agricultural land available to feed everybody. Either deforestation is required or more people will be undernourished!</v>
      </c>
      <c r="B133" s="6" t="s">
        <v>227</v>
      </c>
      <c r="C133" s="6" t="s">
        <v>228</v>
      </c>
      <c r="D133" s="313"/>
    </row>
    <row r="134" spans="1:4" s="315" customFormat="1" ht="46.8" x14ac:dyDescent="0.3">
      <c r="A134" s="5" t="str">
        <f ca="1">IF(checks!$B$2&lt;checks!$B$1,OFFSET(A134,0,(IF(control!$H$2&gt;$B$1-1,IF(control!$H$2&lt;$C$1+1,control!$H$2,1),1))),"please obtain an update from www.vision3000.eu ")</f>
        <v xml:space="preserve">
Caution: The global mean temperature is increasing above 1.5°C above pre-industrial level!</v>
      </c>
      <c r="B134" s="6" t="s">
        <v>229</v>
      </c>
      <c r="C134" s="6" t="s">
        <v>230</v>
      </c>
      <c r="D134" s="313"/>
    </row>
    <row r="135" spans="1:4" x14ac:dyDescent="0.3">
      <c r="A135" s="5" t="str">
        <f ca="1">IF(checks!$B$2&lt;checks!$B$1,OFFSET(A135,0,(IF(control!$H$2&gt;$B$1-1,IF(control!$H$2&lt;$C$1+1,control!$H$2,1),1))),"please obtain an update from www.vision3000.eu ")</f>
        <v>all warnings</v>
      </c>
      <c r="B135" s="6" t="s">
        <v>231</v>
      </c>
      <c r="C135" s="6" t="s">
        <v>232</v>
      </c>
    </row>
    <row r="136" spans="1:4" x14ac:dyDescent="0.3">
      <c r="A136" s="5" t="str">
        <f ca="1">IF(checks!$B$2&lt;checks!$B$1,OFFSET(A136,0,(IF(control!$H$2&gt;$B$1-1,IF(control!$H$2&lt;$C$1+1,control!$H$2,1),1))),"please obtain an update from www.vision3000.eu ")</f>
        <v>all cautions</v>
      </c>
      <c r="B136" s="6" t="s">
        <v>233</v>
      </c>
      <c r="C136" s="6" t="s">
        <v>234</v>
      </c>
    </row>
    <row r="137" spans="1:4" x14ac:dyDescent="0.3">
      <c r="A137" s="5" t="str">
        <f ca="1">IF(checks!$B$2&lt;checks!$B$1,OFFSET(A137,0,(IF(control!$H$2&gt;$B$1-1,IF(control!$H$2&lt;$C$1+1,control!$H$2,1),1))),"please obtain an update from www.vision3000.eu ")</f>
        <v>slope of area-specific vegetal productivity used</v>
      </c>
      <c r="B137" s="6" t="s">
        <v>235</v>
      </c>
      <c r="C137" s="6" t="s">
        <v>236</v>
      </c>
    </row>
    <row r="138" spans="1:4" x14ac:dyDescent="0.3">
      <c r="A138" s="5" t="str">
        <f ca="1">IF(checks!$B$2&lt;checks!$B$1,OFFSET(A138,0,(IF(control!$H$2&gt;$B$1-1,IF(control!$H$2&lt;$C$1+1,control!$H$2,1),1))),"please obtain an update from www.vision3000.eu ")</f>
        <v>in kcal/(m² a)</v>
      </c>
      <c r="B138" s="6" t="s">
        <v>237</v>
      </c>
      <c r="C138" s="6" t="s">
        <v>237</v>
      </c>
    </row>
    <row r="139" spans="1:4" x14ac:dyDescent="0.3">
      <c r="A139" s="5" t="str">
        <f ca="1">IF(checks!$B$2&lt;checks!$B$1,OFFSET(A139,0,(IF(control!$H$2&gt;$B$1-1,IF(control!$H$2&lt;$C$1+1,control!$H$2,1),1))),"please obtain an update from www.vision3000.eu ")</f>
        <v>specific vegetal productivity</v>
      </c>
      <c r="B139" s="6" t="s">
        <v>238</v>
      </c>
      <c r="C139" s="6" t="s">
        <v>239</v>
      </c>
    </row>
    <row r="140" spans="1:4" ht="31.2" x14ac:dyDescent="0.3">
      <c r="A140" s="5" t="str">
        <f ca="1">IF(checks!$B$2&lt;checks!$B$1,OFFSET(A140,0,(IF(control!$H$2&gt;$B$1-1,IF(control!$H$2&lt;$C$1+1,control!$H$2,1),1))),"please obtain an update from www.vision3000.eu ")</f>
        <v>pasture intensity, A1 in A1*exp(-(x-x0)/t1) in m^2*a/kcal</v>
      </c>
      <c r="B140" s="6" t="s">
        <v>240</v>
      </c>
      <c r="C140" s="6" t="s">
        <v>241</v>
      </c>
    </row>
    <row r="141" spans="1:4" ht="31.2" x14ac:dyDescent="0.3">
      <c r="A141" s="5" t="str">
        <f ca="1">IF(checks!$B$2&lt;checks!$B$1,OFFSET(A141,0,(IF(control!$H$2&gt;$B$1-1,IF(control!$H$2&lt;$C$1+1,control!$H$2,1),1))),"please obtain an update from www.vision3000.eu ")</f>
        <v>pasture intensity, t1 in A1*exp(-(x-x0)/t1) in m^2*a/kcal</v>
      </c>
      <c r="B141" s="6" t="s">
        <v>242</v>
      </c>
      <c r="C141" s="6" t="s">
        <v>243</v>
      </c>
    </row>
    <row r="142" spans="1:4" ht="31.2" x14ac:dyDescent="0.3">
      <c r="A142" s="5" t="str">
        <f ca="1">IF(checks!$B$2&lt;checks!$B$1,OFFSET(A142,0,(IF(control!$H$2&gt;$B$1-1,IF(control!$H$2&lt;$C$1+1,control!$H$2,1),1))),"please obtain an update from www.vision3000.eu ")</f>
        <v>pasture intensity, x0 in A1*exp(-(x-x0)/t1) in m^2*a/kcal</v>
      </c>
      <c r="B142" s="6" t="s">
        <v>948</v>
      </c>
      <c r="C142" s="6" t="s">
        <v>244</v>
      </c>
    </row>
    <row r="143" spans="1:4" x14ac:dyDescent="0.3">
      <c r="A143" s="5" t="str">
        <f ca="1">IF(checks!$B$2&lt;checks!$B$1,OFFSET(A143,0,(IF(control!$H$2&gt;$B$1-1,IF(control!$H$2&lt;$C$1+1,control!$H$2,1),1))),"please obtain an update from www.vision3000.eu ")</f>
        <v>minimum pasture input</v>
      </c>
      <c r="B143" s="6" t="s">
        <v>245</v>
      </c>
      <c r="C143" s="6" t="s">
        <v>246</v>
      </c>
    </row>
    <row r="144" spans="1:4" x14ac:dyDescent="0.3">
      <c r="A144" s="5" t="str">
        <f ca="1">IF(checks!$B$2&lt;checks!$B$1,OFFSET(A144,0,(IF(control!$H$2&gt;$B$1-1,IF(control!$H$2&lt;$C$1+1,control!$H$2,1),1))),"please obtain an update from www.vision3000.eu ")</f>
        <v>intensification agriculture, 0 = const., 1 = max.</v>
      </c>
      <c r="B144" s="6" t="s">
        <v>945</v>
      </c>
      <c r="C144" s="6" t="s">
        <v>944</v>
      </c>
    </row>
    <row r="145" spans="1:3" ht="31.2" x14ac:dyDescent="0.3">
      <c r="A145" s="5" t="str">
        <f ca="1">IF(checks!$B$2&lt;checks!$B$1,OFFSET(A145,0,(IF(control!$H$2&gt;$B$1-1,IF(control!$H$2&lt;$C$1+1,control!$H$2,1),1))),"please obtain an update from www.vision3000.eu ")</f>
        <v>intensification livestock production, 0 = const., 1 = max.</v>
      </c>
      <c r="B145" s="6" t="s">
        <v>946</v>
      </c>
      <c r="C145" s="6" t="s">
        <v>947</v>
      </c>
    </row>
    <row r="146" spans="1:3" x14ac:dyDescent="0.3">
      <c r="A146" s="5" t="str">
        <f ca="1">IF(checks!$B$2&lt;checks!$B$1,OFFSET(A146,0,(IF(control!$H$2&gt;$B$1-1,IF(control!$H$2&lt;$C$1+1,control!$H$2,1),1))),"please obtain an update from www.vision3000.eu ")</f>
        <v>intensification agriculture, 0% = const., 100% = max.</v>
      </c>
      <c r="B146" s="6" t="s">
        <v>942</v>
      </c>
      <c r="C146" s="6" t="s">
        <v>940</v>
      </c>
    </row>
    <row r="147" spans="1:3" ht="31.2" x14ac:dyDescent="0.3">
      <c r="A147" s="5" t="str">
        <f ca="1">IF(checks!$B$2&lt;checks!$B$1,OFFSET(A147,0,(IF(control!$H$2&gt;$B$1-1,IF(control!$H$2&lt;$C$1+1,control!$H$2,1),1))),"please obtain an update from www.vision3000.eu ")</f>
        <v>intensification livestock prod., 0% = const., 100% = max.</v>
      </c>
      <c r="B147" s="6" t="s">
        <v>943</v>
      </c>
      <c r="C147" s="6" t="s">
        <v>941</v>
      </c>
    </row>
    <row r="148" spans="1:3" x14ac:dyDescent="0.3">
      <c r="A148" s="5" t="str">
        <f ca="1">IF(checks!$B$2&lt;checks!$B$1,OFFSET(A148,0,(IF(control!$H$2&gt;$B$1-1,IF(control!$H$2&lt;$C$1+1,control!$H$2,1),1))),"please obtain an update from www.vision3000.eu ")</f>
        <v>pasture per animal-based calories</v>
      </c>
      <c r="B148" s="6" t="s">
        <v>247</v>
      </c>
      <c r="C148" s="6" t="s">
        <v>248</v>
      </c>
    </row>
    <row r="149" spans="1:3" ht="31.2" x14ac:dyDescent="0.3">
      <c r="A149" s="5" t="str">
        <f ca="1">IF(checks!$B$2&lt;checks!$B$1,OFFSET(A149,0,(IF(control!$H$2&gt;$B$1-1,IF(control!$H$2&lt;$C$1+1,control!$H$2,1),1))),"please obtain an update from www.vision3000.eu ")</f>
        <v>feed intensity, y0 in y0+A1*exp(-(x-x0)/t1) in kcal/kcal</v>
      </c>
      <c r="B149" s="6" t="s">
        <v>249</v>
      </c>
      <c r="C149" s="6" t="s">
        <v>250</v>
      </c>
    </row>
    <row r="150" spans="1:3" ht="31.2" x14ac:dyDescent="0.3">
      <c r="A150" s="5" t="str">
        <f ca="1">IF(checks!$B$2&lt;checks!$B$1,OFFSET(A150,0,(IF(control!$H$2&gt;$B$1-1,IF(control!$H$2&lt;$C$1+1,control!$H$2,1),1))),"please obtain an update from www.vision3000.eu ")</f>
        <v>feed intensity, A1 in y0+A1*exp(-(x-x0)/t1) in kcal/kcal</v>
      </c>
      <c r="B150" s="6" t="s">
        <v>251</v>
      </c>
      <c r="C150" s="6" t="s">
        <v>252</v>
      </c>
    </row>
    <row r="151" spans="1:3" ht="31.2" x14ac:dyDescent="0.3">
      <c r="A151" s="5" t="str">
        <f ca="1">IF(checks!$B$2&lt;checks!$B$1,OFFSET(A151,0,(IF(control!$H$2&gt;$B$1-1,IF(control!$H$2&lt;$C$1+1,control!$H$2,1),1))),"please obtain an update from www.vision3000.eu ")</f>
        <v>feed intensity, t1 in y0+A1*exp(-(x-x0)/t1) in kcal/kcal</v>
      </c>
      <c r="B151" s="6" t="s">
        <v>253</v>
      </c>
      <c r="C151" s="6" t="s">
        <v>254</v>
      </c>
    </row>
    <row r="152" spans="1:3" ht="31.2" x14ac:dyDescent="0.3">
      <c r="A152" s="5" t="str">
        <f ca="1">IF(checks!$B$2&lt;checks!$B$1,OFFSET(A152,0,(IF(control!$H$2&gt;$B$1-1,IF(control!$H$2&lt;$C$1+1,control!$H$2,1),1))),"please obtain an update from www.vision3000.eu ")</f>
        <v>feed intensity, x0 in y0+A1*exp(-(x-x0)/t1) in kcal/kcal</v>
      </c>
      <c r="B152" s="6" t="s">
        <v>255</v>
      </c>
      <c r="C152" s="6" t="s">
        <v>256</v>
      </c>
    </row>
    <row r="153" spans="1:3" x14ac:dyDescent="0.3">
      <c r="A153" s="5" t="str">
        <f ca="1">IF(checks!$B$2&lt;checks!$B$1,OFFSET(A153,0,(IF(control!$H$2&gt;$B$1-1,IF(control!$H$2&lt;$C$1+1,control!$H$2,1),1))),"please obtain an update from www.vision3000.eu ")</f>
        <v>feed per animal-based production</v>
      </c>
      <c r="B153" s="6" t="s">
        <v>257</v>
      </c>
      <c r="C153" s="6" t="s">
        <v>258</v>
      </c>
    </row>
    <row r="154" spans="1:3" ht="31.2" x14ac:dyDescent="0.3">
      <c r="A154" s="5" t="str">
        <f ca="1">IF(checks!$B$2&lt;checks!$B$1,OFFSET(A154,0,(IF(control!$H$2&gt;$B$1-1,IF(control!$H$2&lt;$C$1+1,control!$H$2,1),1))),"please obtain an update from www.vision3000.eu ")</f>
        <v>food / primary production animal based, y0 in y0+A1*exp(-(x-x0)/t1) in kcal/kcal</v>
      </c>
      <c r="B154" s="6" t="s">
        <v>259</v>
      </c>
      <c r="C154" s="6" t="s">
        <v>260</v>
      </c>
    </row>
    <row r="155" spans="1:3" ht="31.2" x14ac:dyDescent="0.3">
      <c r="A155" s="5" t="str">
        <f ca="1">IF(checks!$B$2&lt;checks!$B$1,OFFSET(A155,0,(IF(control!$H$2&gt;$B$1-1,IF(control!$H$2&lt;$C$1+1,control!$H$2,1),1))),"please obtain an update from www.vision3000.eu ")</f>
        <v>food / primary production animal based, A1 in y0+A1*exp(-(x-x0)/t1) in kcal/kcal</v>
      </c>
      <c r="B155" s="6" t="s">
        <v>261</v>
      </c>
      <c r="C155" s="6" t="s">
        <v>262</v>
      </c>
    </row>
    <row r="156" spans="1:3" ht="31.2" x14ac:dyDescent="0.3">
      <c r="A156" s="5" t="str">
        <f ca="1">IF(checks!$B$2&lt;checks!$B$1,OFFSET(A156,0,(IF(control!$H$2&gt;$B$1-1,IF(control!$H$2&lt;$C$1+1,control!$H$2,1),1))),"please obtain an update from www.vision3000.eu ")</f>
        <v>food / primary production animal based, t1 in y0+A1*exp(-(x-x0)/t1) in kcal/kcal</v>
      </c>
      <c r="B156" s="6" t="s">
        <v>263</v>
      </c>
      <c r="C156" s="6" t="s">
        <v>264</v>
      </c>
    </row>
    <row r="157" spans="1:3" ht="31.2" x14ac:dyDescent="0.3">
      <c r="A157" s="5" t="str">
        <f ca="1">IF(checks!$B$2&lt;checks!$B$1,OFFSET(A157,0,(IF(control!$H$2&gt;$B$1-1,IF(control!$H$2&lt;$C$1+1,control!$H$2,1),1))),"please obtain an update from www.vision3000.eu ")</f>
        <v>food / primary production animal based, x0 in y0+A1*exp(-(x-x0)/t1) in kcal/kcal</v>
      </c>
      <c r="B157" s="6" t="s">
        <v>265</v>
      </c>
      <c r="C157" s="6" t="s">
        <v>266</v>
      </c>
    </row>
    <row r="158" spans="1:3" x14ac:dyDescent="0.3">
      <c r="A158" s="5" t="str">
        <f ca="1">IF(checks!$B$2&lt;checks!$B$1,OFFSET(A158,0,(IF(control!$H$2&gt;$B$1-1,IF(control!$H$2&lt;$C$1+1,control!$H$2,1),1))),"please obtain an update from www.vision3000.eu ")</f>
        <v>food / animal-based production</v>
      </c>
      <c r="B158" s="6" t="s">
        <v>267</v>
      </c>
      <c r="C158" s="6" t="s">
        <v>268</v>
      </c>
    </row>
    <row r="159" spans="1:3" ht="31.2" x14ac:dyDescent="0.3">
      <c r="A159" s="5" t="str">
        <f ca="1">IF(checks!$B$2&lt;checks!$B$1,OFFSET(A159,0,(IF(control!$H$2&gt;$B$1-1,IF(control!$H$2&lt;$C$1+1,control!$H$2,1),1))),"please obtain an update from www.vision3000.eu ")</f>
        <v>seed / primary production vegetal, y0 in y0+A1*exp(-(x-x0)/t1) in kcal/kcal</v>
      </c>
      <c r="B159" s="6" t="s">
        <v>269</v>
      </c>
      <c r="C159" s="6" t="s">
        <v>270</v>
      </c>
    </row>
    <row r="160" spans="1:3" ht="31.2" x14ac:dyDescent="0.3">
      <c r="A160" s="5" t="str">
        <f ca="1">IF(checks!$B$2&lt;checks!$B$1,OFFSET(A160,0,(IF(control!$H$2&gt;$B$1-1,IF(control!$H$2&lt;$C$1+1,control!$H$2,1),1))),"please obtain an update from www.vision3000.eu ")</f>
        <v>seed / primary production vegetal, A1 in y0+A1*exp(-(x-x0)/t1) in kcal/kcal</v>
      </c>
      <c r="B160" s="6" t="s">
        <v>271</v>
      </c>
      <c r="C160" s="6" t="s">
        <v>272</v>
      </c>
    </row>
    <row r="161" spans="1:3" ht="31.2" x14ac:dyDescent="0.3">
      <c r="A161" s="5" t="str">
        <f ca="1">IF(checks!$B$2&lt;checks!$B$1,OFFSET(A161,0,(IF(control!$H$2&gt;$B$1-1,IF(control!$H$2&lt;$C$1+1,control!$H$2,1),1))),"please obtain an update from www.vision3000.eu ")</f>
        <v>seed / primary production vegetal, t1 in y0+A1*exp(-(x-x0)/t1) in kcal/kcal</v>
      </c>
      <c r="B161" s="6" t="s">
        <v>273</v>
      </c>
      <c r="C161" s="6" t="s">
        <v>274</v>
      </c>
    </row>
    <row r="162" spans="1:3" ht="31.2" x14ac:dyDescent="0.3">
      <c r="A162" s="5" t="str">
        <f ca="1">IF(checks!$B$2&lt;checks!$B$1,OFFSET(A162,0,(IF(control!$H$2&gt;$B$1-1,IF(control!$H$2&lt;$C$1+1,control!$H$2,1),1))),"please obtain an update from www.vision3000.eu ")</f>
        <v>seed / primary production vegetal, x0 in y0+A1*exp(-(x-x0)/t1) in kcal/kcal</v>
      </c>
      <c r="B162" s="6" t="s">
        <v>275</v>
      </c>
      <c r="C162" s="6" t="s">
        <v>276</v>
      </c>
    </row>
    <row r="163" spans="1:3" x14ac:dyDescent="0.3">
      <c r="A163" s="5" t="str">
        <f ca="1">IF(checks!$B$2&lt;checks!$B$1,OFFSET(A163,0,(IF(control!$H$2&gt;$B$1-1,IF(control!$H$2&lt;$C$1+1,control!$H$2,1),1))),"please obtain an update from www.vision3000.eu ")</f>
        <v>seed / vegetal primary production</v>
      </c>
      <c r="B163" s="6" t="s">
        <v>277</v>
      </c>
      <c r="C163" s="6" t="s">
        <v>278</v>
      </c>
    </row>
    <row r="164" spans="1:3" x14ac:dyDescent="0.3">
      <c r="A164" s="5" t="str">
        <f ca="1">IF(checks!$B$2&lt;checks!$B$1,OFFSET(A164,0,(IF(control!$H$2&gt;$B$1-1,IF(control!$H$2&lt;$C$1+1,control!$H$2,1),1))),"please obtain an update from www.vision3000.eu ")</f>
        <v>losses vegetal / vegetal primary production</v>
      </c>
      <c r="B164" s="6" t="s">
        <v>279</v>
      </c>
      <c r="C164" s="6" t="s">
        <v>280</v>
      </c>
    </row>
    <row r="165" spans="1:3" x14ac:dyDescent="0.3">
      <c r="A165" s="5" t="str">
        <f ca="1">IF(checks!$B$2&lt;checks!$B$1,OFFSET(A165,0,(IF(control!$H$2&gt;$B$1-1,IF(control!$H$2&lt;$C$1+1,control!$H$2,1),1))),"please obtain an update from www.vision3000.eu ")</f>
        <v>loss / vegetal primary production</v>
      </c>
      <c r="B165" s="6" t="s">
        <v>281</v>
      </c>
      <c r="C165" s="6" t="s">
        <v>282</v>
      </c>
    </row>
    <row r="166" spans="1:3" ht="31.2" x14ac:dyDescent="0.3">
      <c r="A166" s="5" t="str">
        <f ca="1">IF(checks!$B$2&lt;checks!$B$1,OFFSET(A166,0,(IF(control!$H$2&gt;$B$1-1,IF(control!$H$2&lt;$C$1+1,control!$H$2,1),1))),"please obtain an update from www.vision3000.eu ")</f>
        <v>land-area specific productivity for biofuels in reference year</v>
      </c>
      <c r="B166" s="6" t="s">
        <v>283</v>
      </c>
      <c r="C166" s="6" t="s">
        <v>284</v>
      </c>
    </row>
    <row r="167" spans="1:3" ht="31.2" x14ac:dyDescent="0.3">
      <c r="A167" s="5" t="str">
        <f ca="1">IF(checks!$B$2&lt;checks!$B$1,OFFSET(A167,0,(IF(control!$H$2&gt;$B$1-1,IF(control!$H$2&lt;$C$1+1,control!$H$2,1),1))),"please obtain an update from www.vision3000.eu ")</f>
        <v>reference year for land-area specific productivity for bio-fuels, materials &amp; BECCS</v>
      </c>
      <c r="B167" s="6" t="s">
        <v>285</v>
      </c>
      <c r="C167" s="6" t="s">
        <v>286</v>
      </c>
    </row>
    <row r="168" spans="1:3" ht="31.2" x14ac:dyDescent="0.3">
      <c r="A168" s="5" t="str">
        <f ca="1">IF(checks!$B$2&lt;checks!$B$1,OFFSET(A168,0,(IF(control!$H$2&gt;$B$1-1,IF(control!$H$2&lt;$C$1+1,control!$H$2,1),1))),"please obtain an update from www.vision3000.eu ")</f>
        <v>land-area specific vegetal productivity in reference year</v>
      </c>
      <c r="B168" s="6" t="s">
        <v>287</v>
      </c>
      <c r="C168" s="6" t="s">
        <v>288</v>
      </c>
    </row>
    <row r="169" spans="1:3" ht="31.2" x14ac:dyDescent="0.3">
      <c r="A169" s="5" t="str">
        <f ca="1">IF(checks!$B$2&lt;checks!$B$1,OFFSET(A169,0,(IF(control!$H$2&gt;$B$1-1,IF(control!$H$2&lt;$C$1+1,control!$H$2,1),1))),"please obtain an update from www.vision3000.eu ")</f>
        <v>land-area specific bio-materials productivity in reference year on CH2-basis</v>
      </c>
      <c r="B169" s="6" t="s">
        <v>289</v>
      </c>
      <c r="C169" s="6" t="s">
        <v>290</v>
      </c>
    </row>
    <row r="170" spans="1:3" ht="31.2" x14ac:dyDescent="0.3">
      <c r="A170" s="5" t="str">
        <f ca="1">IF(checks!$B$2&lt;checks!$B$1,OFFSET(A170,0,(IF(control!$H$2&gt;$B$1-1,IF(control!$H$2&lt;$C$1+1,control!$H$2,1),1))),"please obtain an update from www.vision3000.eu ")</f>
        <v>land-area specific energy productivity for BECCS/alternative in reference year</v>
      </c>
      <c r="B170" s="6" t="s">
        <v>291</v>
      </c>
      <c r="C170" s="6" t="s">
        <v>292</v>
      </c>
    </row>
    <row r="171" spans="1:3" x14ac:dyDescent="0.3">
      <c r="A171" s="5" t="str">
        <f ca="1">IF(checks!$B$2&lt;checks!$B$1,OFFSET(A171,0,(IF(control!$H$2&gt;$B$1-1,IF(control!$H$2&lt;$C$1+1,control!$H$2,1),1))),"please obtain an update from www.vision3000.eu ")</f>
        <v>fraction of cropland with sustainable farming</v>
      </c>
      <c r="B171" s="6" t="s">
        <v>293</v>
      </c>
      <c r="C171" s="6" t="s">
        <v>294</v>
      </c>
    </row>
    <row r="172" spans="1:3" x14ac:dyDescent="0.3">
      <c r="A172" s="5" t="str">
        <f ca="1">IF(checks!$B$2&lt;checks!$B$1,OFFSET(A172,0,(IF(control!$H$2&gt;$B$1-1,IF(control!$H$2&lt;$C$1+1,control!$H$2,1),1))),"please obtain an update from www.vision3000.eu ")</f>
        <v>fraction cropland area reserved for bio-diversity</v>
      </c>
      <c r="B172" s="10" t="s">
        <v>295</v>
      </c>
      <c r="C172" s="6" t="s">
        <v>296</v>
      </c>
    </row>
    <row r="173" spans="1:3" x14ac:dyDescent="0.3">
      <c r="A173" s="5" t="str">
        <f ca="1">IF(checks!$B$2&lt;checks!$B$1,OFFSET(A173,0,(IF(control!$H$2&gt;$B$1-1,IF(control!$H$2&lt;$C$1+1,control!$H$2,1),1))),"please obtain an update from www.vision3000.eu ")</f>
        <v>fraction of agricultural land for afforestation</v>
      </c>
      <c r="B173" s="10" t="s">
        <v>859</v>
      </c>
      <c r="C173" s="6" t="s">
        <v>860</v>
      </c>
    </row>
    <row r="174" spans="1:3" x14ac:dyDescent="0.3">
      <c r="A174" s="5" t="str">
        <f ca="1">IF(checks!$B$2&lt;checks!$B$1,OFFSET(A174,0,(IF(control!$H$2&gt;$B$1-1,IF(control!$H$2&lt;$C$1+1,control!$H$2,1),1))),"please obtain an update from www.vision3000.eu ")</f>
        <v>in 1000 m² per capita</v>
      </c>
      <c r="B174" s="6" t="s">
        <v>297</v>
      </c>
      <c r="C174" s="6" t="s">
        <v>298</v>
      </c>
    </row>
    <row r="175" spans="1:3" x14ac:dyDescent="0.3">
      <c r="A175" s="5" t="str">
        <f ca="1">IF(checks!$B$2&lt;checks!$B$1,OFFSET(A175,0,(IF(control!$H$2&gt;$B$1-1,IF(control!$H$2&lt;$C$1+1,control!$H$2,1),1))),"please obtain an update from www.vision3000.eu ")</f>
        <v>cropland</v>
      </c>
      <c r="B175" s="6" t="s">
        <v>299</v>
      </c>
      <c r="C175" s="6" t="s">
        <v>300</v>
      </c>
    </row>
    <row r="176" spans="1:3" x14ac:dyDescent="0.3">
      <c r="A176" s="5" t="str">
        <f ca="1">IF(checks!$B$2&lt;checks!$B$1,OFFSET(A176,0,(IF(control!$H$2&gt;$B$1-1,IF(control!$H$2&lt;$C$1+1,control!$H$2,1),1))),"please obtain an update from www.vision3000.eu ")</f>
        <v>pasture</v>
      </c>
      <c r="B176" s="6" t="s">
        <v>301</v>
      </c>
      <c r="C176" s="6" t="s">
        <v>302</v>
      </c>
    </row>
    <row r="177" spans="1:3" x14ac:dyDescent="0.3">
      <c r="A177" s="5" t="str">
        <f ca="1">IF(checks!$B$2&lt;checks!$B$1,OFFSET(A177,0,(IF(control!$H$2&gt;$B$1-1,IF(control!$H$2&lt;$C$1+1,control!$H$2,1),1))),"please obtain an update from www.vision3000.eu ")</f>
        <v>vegetal food</v>
      </c>
      <c r="B177" s="6" t="s">
        <v>303</v>
      </c>
      <c r="C177" s="6" t="s">
        <v>304</v>
      </c>
    </row>
    <row r="178" spans="1:3" x14ac:dyDescent="0.3">
      <c r="A178" s="5" t="str">
        <f ca="1">IF(checks!$B$2&lt;checks!$B$1,OFFSET(A178,0,(IF(control!$H$2&gt;$B$1-1,IF(control!$H$2&lt;$C$1+1,control!$H$2,1),1))),"please obtain an update from www.vision3000.eu ")</f>
        <v>bio-fuels</v>
      </c>
      <c r="B178" s="6" t="s">
        <v>305</v>
      </c>
      <c r="C178" s="6" t="s">
        <v>306</v>
      </c>
    </row>
    <row r="179" spans="1:3" x14ac:dyDescent="0.3">
      <c r="A179" s="5" t="str">
        <f ca="1">IF(checks!$B$2&lt;checks!$B$1,OFFSET(A179,0,(IF(control!$H$2&gt;$B$1-1,IF(control!$H$2&lt;$C$1+1,control!$H$2,1),1))),"please obtain an update from www.vision3000.eu ")</f>
        <v>bio-materials</v>
      </c>
      <c r="B179" s="6" t="s">
        <v>307</v>
      </c>
      <c r="C179" s="6" t="s">
        <v>308</v>
      </c>
    </row>
    <row r="180" spans="1:3" x14ac:dyDescent="0.3">
      <c r="A180" s="5" t="str">
        <f ca="1">IF(checks!$B$2&lt;checks!$B$1,OFFSET(A180,0,(IF(control!$H$2&gt;$B$1-1,IF(control!$H$2&lt;$C$1+1,control!$H$2,1),1))),"please obtain an update from www.vision3000.eu ")</f>
        <v>BECCS</v>
      </c>
      <c r="B180" s="6" t="s">
        <v>309</v>
      </c>
      <c r="C180" s="6" t="s">
        <v>309</v>
      </c>
    </row>
    <row r="181" spans="1:3" x14ac:dyDescent="0.3">
      <c r="A181" s="5" t="str">
        <f ca="1">IF(checks!$B$2&lt;checks!$B$1,OFFSET(A181,0,(IF(control!$H$2&gt;$B$1-1,IF(control!$H$2&lt;$C$1+1,control!$H$2,1),1))),"please obtain an update from www.vision3000.eu ")</f>
        <v>add. sust. farming</v>
      </c>
      <c r="B181" s="6" t="s">
        <v>310</v>
      </c>
      <c r="C181" s="6" t="s">
        <v>311</v>
      </c>
    </row>
    <row r="182" spans="1:3" x14ac:dyDescent="0.3">
      <c r="A182" s="5" t="str">
        <f ca="1">IF(checks!$B$2&lt;checks!$B$1,OFFSET(A182,0,(IF(control!$H$2&gt;$B$1-1,IF(control!$H$2&lt;$C$1+1,control!$H$2,1),1))),"please obtain an update from www.vision3000.eu ")</f>
        <v>add. bio-diversity</v>
      </c>
      <c r="B182" s="6" t="s">
        <v>312</v>
      </c>
      <c r="C182" s="6" t="s">
        <v>313</v>
      </c>
    </row>
    <row r="183" spans="1:3" x14ac:dyDescent="0.3">
      <c r="A183" s="5" t="str">
        <f ca="1">IF(checks!$B$2&lt;checks!$B$1,OFFSET(A183,0,(IF(control!$H$2&gt;$B$1-1,IF(control!$H$2&lt;$C$1+1,control!$H$2,1),1))),"please obtain an update from www.vision3000.eu ")</f>
        <v>afforestation</v>
      </c>
      <c r="B183" s="6" t="s">
        <v>314</v>
      </c>
      <c r="C183" s="6" t="s">
        <v>315</v>
      </c>
    </row>
    <row r="184" spans="1:3" x14ac:dyDescent="0.3">
      <c r="A184" s="5" t="str">
        <f ca="1">IF(checks!$B$2&lt;checks!$B$1,OFFSET(A184,0,(IF(control!$H$2&gt;$B$1-1,IF(control!$H$2&lt;$C$1+1,control!$H$2,1),1))),"please obtain an update from www.vision3000.eu ")</f>
        <v>add. feed</v>
      </c>
      <c r="B184" s="6" t="s">
        <v>316</v>
      </c>
      <c r="C184" s="6" t="s">
        <v>317</v>
      </c>
    </row>
    <row r="185" spans="1:3" x14ac:dyDescent="0.3">
      <c r="A185" s="5" t="str">
        <f ca="1">IF(checks!$B$2&lt;checks!$B$1,OFFSET(A185,0,(IF(control!$H$2&gt;$B$1-1,IF(control!$H$2&lt;$C$1+1,control!$H$2,1),1))),"please obtain an update from www.vision3000.eu ")</f>
        <v>area demand</v>
      </c>
      <c r="B185" s="6" t="s">
        <v>318</v>
      </c>
      <c r="C185" s="6" t="s">
        <v>319</v>
      </c>
    </row>
    <row r="186" spans="1:3" x14ac:dyDescent="0.3">
      <c r="A186" s="5" t="str">
        <f ca="1">IF(checks!$B$2&lt;checks!$B$1,OFFSET(A186,0,(IF(control!$H$2&gt;$B$1-1,IF(control!$H$2&lt;$C$1+1,control!$H$2,1),1))),"please obtain an update from www.vision3000.eu ")</f>
        <v>fraction additional area demand for organic farming</v>
      </c>
      <c r="B186" s="6" t="s">
        <v>320</v>
      </c>
      <c r="C186" s="6" t="s">
        <v>321</v>
      </c>
    </row>
    <row r="187" spans="1:3" x14ac:dyDescent="0.3">
      <c r="A187" s="5" t="str">
        <f ca="1">IF(checks!$B$2&lt;checks!$B$1,OFFSET(A187,0,(IF(control!$H$2&gt;$B$1-1,IF(control!$H$2&lt;$C$1+1,control!$H$2,1),1))),"please obtain an update from www.vision3000.eu ")</f>
        <v>% to be deforested forests for sufficient food</v>
      </c>
      <c r="B187" s="6" t="s">
        <v>322</v>
      </c>
      <c r="C187" s="6" t="s">
        <v>323</v>
      </c>
    </row>
    <row r="188" spans="1:3" x14ac:dyDescent="0.3">
      <c r="A188" s="5" t="str">
        <f ca="1">IF(checks!$B$2&lt;checks!$B$1,OFFSET(A188,0,(IF(control!$H$2&gt;$B$1-1,IF(control!$H$2&lt;$C$1+1,control!$H$2,1),1))),"please obtain an update from www.vision3000.eu ")</f>
        <v>CO2 captured annually by BECCS and DACCS in 2100</v>
      </c>
      <c r="B188" s="6" t="s">
        <v>839</v>
      </c>
      <c r="C188" s="6" t="s">
        <v>840</v>
      </c>
    </row>
    <row r="189" spans="1:3" x14ac:dyDescent="0.3">
      <c r="A189" s="5" t="str">
        <f ca="1">IF(checks!$B$2&lt;checks!$B$1,OFFSET(A189,0,(IF(control!$H$2&gt;$B$1-1,IF(control!$H$2&lt;$C$1+1,control!$H$2,1),1))),"please obtain an update from www.vision3000.eu ")</f>
        <v>available fert. land</v>
      </c>
      <c r="B189" s="6" t="s">
        <v>324</v>
      </c>
      <c r="C189" s="6" t="s">
        <v>325</v>
      </c>
    </row>
    <row r="190" spans="1:3" ht="31.2" x14ac:dyDescent="0.3">
      <c r="A190" s="5" t="str">
        <f ca="1">IF(checks!$B$2&lt;checks!$B$1,OFFSET(A190,0,(IF(control!$H$2&gt;$B$1-1,IF(control!$H$2&lt;$C$1+1,control!$H$2,1),1))),"please obtain an update from www.vision3000.eu ")</f>
        <v>duration of carbon storage by afforestation and waterlogging</v>
      </c>
      <c r="B190" s="6" t="s">
        <v>1163</v>
      </c>
      <c r="C190" s="6" t="s">
        <v>1162</v>
      </c>
    </row>
    <row r="191" spans="1:3" x14ac:dyDescent="0.3">
      <c r="A191" s="5" t="str">
        <f ca="1">IF(checks!$B$2&lt;checks!$B$1,OFFSET(A191,0,(IF(control!$H$2&gt;$B$1-1,IF(control!$H$2&lt;$C$1+1,control!$H$2,1),1))),"please obtain an update from www.vision3000.eu ")</f>
        <v>additional annual carbon storage by forests</v>
      </c>
      <c r="B191" s="6" t="s">
        <v>326</v>
      </c>
      <c r="C191" s="6" t="s">
        <v>327</v>
      </c>
    </row>
    <row r="192" spans="1:3" x14ac:dyDescent="0.3">
      <c r="A192" s="5" t="str">
        <f ca="1">IF(checks!$B$2&lt;checks!$B$1,OFFSET(A192,0,(IF(control!$H$2&gt;$B$1-1,IF(control!$H$2&lt;$C$1+1,control!$H$2,1),1))),"please obtain an update from www.vision3000.eu ")</f>
        <v>additional annual carbon storage by peatland</v>
      </c>
      <c r="B192" s="6" t="s">
        <v>1164</v>
      </c>
      <c r="C192" s="6" t="s">
        <v>1165</v>
      </c>
    </row>
    <row r="193" spans="1:3" ht="62.4" x14ac:dyDescent="0.3">
      <c r="A193" s="5" t="str">
        <f ca="1">IF(checks!$B$2&lt;checks!$B$1,OFFSET(A193,0,(IF(control!$H$2&gt;$B$1-1,IF(control!$H$2&lt;$C$1+1,control!$H$2,1),1))),"please obtain an update from www.vision3000.eu ")</f>
        <v xml:space="preserve">
Warning: The energy is not sufficient for all humans to ensure appropriate life in a developed environment!</v>
      </c>
      <c r="B193" s="6" t="s">
        <v>328</v>
      </c>
      <c r="C193" s="6" t="s">
        <v>329</v>
      </c>
    </row>
    <row r="194" spans="1:3" ht="78" x14ac:dyDescent="0.3">
      <c r="A194" s="5" t="str">
        <f ca="1">IF(checks!$B$2&lt;checks!$B$1,OFFSET(A194,0,(IF(control!$H$2&gt;$B$1-1,IF(control!$H$2&lt;$C$1+1,control!$H$2,1),1))),"please obtain an update from www.vision3000.eu ")</f>
        <v xml:space="preserve">
Caution: The growth rate of solar and wind energy exceeds the current value of 20% per year, so that significantly more effort may be required as compared to today!</v>
      </c>
      <c r="B194" s="6" t="s">
        <v>330</v>
      </c>
      <c r="C194" s="6" t="s">
        <v>331</v>
      </c>
    </row>
    <row r="195" spans="1:3" ht="109.2" x14ac:dyDescent="0.3">
      <c r="A195" s="5" t="str">
        <f ca="1">IF(checks!$B$2&lt;checks!$B$1,OFFSET(A195,0,(IF(control!$H$2&gt;$B$1-1,IF(control!$H$2&lt;$C$1+1,control!$H$2,1),1))),"please obtain an update from www.vision3000.eu ")</f>
        <v xml:space="preserve">
Warning: A substitution rate above 4% is not sustainable, because solar panels and wind engines have a lifetime of more than 25 years. After the sustainable-energy transition at most 4% of the equipment would thus need to be replaced every year.</v>
      </c>
      <c r="B195" s="6" t="s">
        <v>332</v>
      </c>
      <c r="C195" s="6" t="s">
        <v>333</v>
      </c>
    </row>
    <row r="196" spans="1:3" ht="109.2" x14ac:dyDescent="0.3">
      <c r="A196" s="5" t="str">
        <f ca="1">IF(checks!$B$2&lt;checks!$B$1,OFFSET(A196,0,(IF(control!$H$2&gt;$B$1-1,IF(control!$H$2&lt;$C$1+1,control!$H$2,1),1))),"please obtain an update from www.vision3000.eu ")</f>
        <v xml:space="preserve">
Caution:  Societal consent is required to use BECCS or/and DACCS with permanent underground storage of carbon dioxide, hydro-thermal carbonization and storage in soil or other utilization with long-term storage of carbon. This consent may be difficult to acquire!</v>
      </c>
      <c r="B196" s="6" t="s">
        <v>816</v>
      </c>
      <c r="C196" s="6" t="s">
        <v>815</v>
      </c>
    </row>
    <row r="197" spans="1:3" ht="93.6" x14ac:dyDescent="0.3">
      <c r="A197" s="5" t="str">
        <f ca="1">IF(checks!$B$2&lt;checks!$B$1,OFFSET(A197,0,(IF(control!$H$2&gt;$B$1-1,IF(control!$H$2&lt;$C$1+1,control!$H$2,1),1))),"please obtain an update from www.vision3000.eu ")</f>
        <v xml:space="preserve">
Warning: The CO2 concentration will remain constant at the end of the 21st century, so that the global mean temperature will further increase by a factor of 1.5 to 2 compared to the pre-industrial level within the next centuries!</v>
      </c>
      <c r="B197" s="6" t="s">
        <v>334</v>
      </c>
      <c r="C197" s="6" t="s">
        <v>335</v>
      </c>
    </row>
    <row r="198" spans="1:3" x14ac:dyDescent="0.3">
      <c r="A198" s="5" t="str">
        <f ca="1">IF(checks!$B$2&lt;checks!$B$1,OFFSET(A198,0,(IF(control!$H$2&gt;$B$1-1,IF(control!$H$2&lt;$C$1+1,control!$H$2,1),1))),"please obtain an update from www.vision3000.eu ")</f>
        <v>in Gtoe per year</v>
      </c>
      <c r="B198" s="6" t="s">
        <v>336</v>
      </c>
      <c r="C198" s="6" t="s">
        <v>337</v>
      </c>
    </row>
    <row r="199" spans="1:3" ht="31.2" x14ac:dyDescent="0.3">
      <c r="A199" s="5" t="str">
        <f ca="1">IF(checks!$B$2&lt;checks!$B$1,OFFSET(A199,0,(IF(control!$H$2&gt;$B$1-1,IF(control!$H$2&lt;$C$1+1,control!$H$2,1),1))),"please obtain an update from www.vision3000.eu ")</f>
        <v>maximum CO2 storage capacity for BECCS or alternative</v>
      </c>
      <c r="B199" s="6" t="s">
        <v>338</v>
      </c>
      <c r="C199" s="6" t="s">
        <v>339</v>
      </c>
    </row>
    <row r="200" spans="1:3" ht="62.4" x14ac:dyDescent="0.3">
      <c r="A200" s="5" t="str">
        <f ca="1">IF(checks!$B$2&lt;checks!$B$1,OFFSET(A200,0,(IF(control!$H$2&gt;$B$1-1,IF(control!$H$2&lt;$C$1+1,control!$H$2,1),1))),"please obtain an update from www.vision3000.eu ")</f>
        <v xml:space="preserve">
Warning: There may not be enough storage capacity for CO2 until 2100 from DACCS, BECCS, or alternative!</v>
      </c>
      <c r="B200" s="6" t="s">
        <v>938</v>
      </c>
      <c r="C200" s="6" t="s">
        <v>937</v>
      </c>
    </row>
    <row r="201" spans="1:3" ht="62.4" x14ac:dyDescent="0.3">
      <c r="A201" s="5" t="str">
        <f ca="1">IF(checks!$B$2&lt;checks!$B$1,OFFSET(A201,0,(IF(control!$H$2&gt;$B$1-1,IF(control!$H$2&lt;$C$1+1,control!$H$2,1),1))),"please obtain an update from www.vision3000.eu ")</f>
        <v xml:space="preserve">
Warning: Towards the end of the century the utilized fraction of available land area is increasing, so that the situation is not long-term sustainable!</v>
      </c>
      <c r="B201" s="6" t="s">
        <v>933</v>
      </c>
      <c r="C201" s="6" t="s">
        <v>340</v>
      </c>
    </row>
    <row r="202" spans="1:3" x14ac:dyDescent="0.3">
      <c r="A202" s="5" t="str">
        <f ca="1">IF(checks!$B$2&lt;checks!$B$1,OFFSET(A202,0,(IF(control!$H$2&gt;$B$1-1,IF(control!$H$2&lt;$C$1+1,control!$H$2,1),1))),"please obtain an update from www.vision3000.eu ")</f>
        <v>how to use</v>
      </c>
      <c r="B202" s="13" t="s">
        <v>341</v>
      </c>
      <c r="C202" s="6" t="s">
        <v>342</v>
      </c>
    </row>
    <row r="203" spans="1:3" ht="409.6" x14ac:dyDescent="0.3">
      <c r="A203" s="5" t="str">
        <f ca="1">IF(checks!$B$2&lt;checks!$B$1,OFFSET(A203,0,(IF(control!$H$2&gt;$B$1-1,IF(control!$H$2&lt;$C$1+1,control!$H$2,1),1))),"please obtain an update from www.vision3000.eu ")</f>
        <v>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v>
      </c>
      <c r="B203" s="13" t="s">
        <v>982</v>
      </c>
      <c r="C203" s="6" t="s">
        <v>981</v>
      </c>
    </row>
    <row r="204" spans="1:3" ht="343.2" x14ac:dyDescent="0.3">
      <c r="A204" s="5" t="str">
        <f ca="1">IF(checks!$B$2&lt;checks!$B$1,OFFSET(A204,0,(IF(control!$H$2&gt;$B$1-1,IF(control!$H$2&lt;$C$1+1,control!$H$2,1),1))),"please obtain an update from www.vision3000.eu ")</f>
        <v>"World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v>
      </c>
      <c r="B204" s="13" t="s">
        <v>983</v>
      </c>
      <c r="C204" s="6" t="s">
        <v>984</v>
      </c>
    </row>
    <row r="205" spans="1:3" ht="109.2" x14ac:dyDescent="0.3">
      <c r="A205" s="5" t="str">
        <f ca="1">IF(checks!$B$2&lt;checks!$B$1,OFFSET(A205,0,(IF(control!$H$2&gt;$B$1-1,IF(control!$H$2&lt;$C$1+1,control!$H$2,1),1))),"please obtain an update from www.vision3000.eu ")</f>
        <v>"Upper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v>
      </c>
      <c r="B205" s="13" t="s">
        <v>985</v>
      </c>
      <c r="C205" s="6" t="s">
        <v>986</v>
      </c>
    </row>
    <row r="206" spans="1:3" ht="280.8" x14ac:dyDescent="0.3">
      <c r="A206" s="5" t="str">
        <f ca="1">IF(checks!$B$2&lt;checks!$B$1,OFFSET(A206,0,(IF(control!$H$2&gt;$B$1-1,IF(control!$H$2&lt;$C$1+1,control!$H$2,1),1))),"please obtain an update from www.vision3000.eu ")</f>
        <v>"Year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v>
      </c>
      <c r="B206" s="13" t="s">
        <v>987</v>
      </c>
      <c r="C206" s="6" t="s">
        <v>988</v>
      </c>
    </row>
    <row r="207" spans="1:3" ht="93.6" x14ac:dyDescent="0.3">
      <c r="A207" s="5" t="str">
        <f ca="1">IF(checks!$B$2&lt;checks!$B$1,OFFSET(A207,0,(IF(control!$H$2&gt;$B$1-1,IF(control!$H$2&lt;$C$1+1,control!$H$2,1),1))),"please obtain an update from www.vision3000.eu ")</f>
        <v>"Growth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v>
      </c>
      <c r="B207" s="13" t="s">
        <v>998</v>
      </c>
      <c r="C207" s="6" t="s">
        <v>997</v>
      </c>
    </row>
    <row r="208" spans="1:3" ht="327.60000000000002" x14ac:dyDescent="0.3">
      <c r="A208" s="5" t="str">
        <f ca="1">IF(checks!$B$2&lt;checks!$B$1,OFFSET(A208,0,(IF(control!$H$2&gt;$B$1-1,IF(control!$H$2&lt;$C$1+1,control!$H$2,1),1))),"please obtain an update from www.vision3000.eu ")</f>
        <v>"Limit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v>
      </c>
      <c r="B208" s="13" t="s">
        <v>1000</v>
      </c>
      <c r="C208" s="14" t="s">
        <v>999</v>
      </c>
    </row>
    <row r="209" spans="1:5" ht="140.4" x14ac:dyDescent="0.3">
      <c r="A209" s="5" t="str">
        <f ca="1">IF(checks!$B$2&lt;checks!$B$1,OFFSET(A209,0,(IF(control!$H$2&gt;$B$1-1,IF(control!$H$2&lt;$C$1+1,control!$H$2,1),1))),"please obtain an update from www.vision3000.eu ")</f>
        <v>"Fraction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v>
      </c>
      <c r="B209" s="13" t="s">
        <v>989</v>
      </c>
      <c r="C209" s="6" t="s">
        <v>990</v>
      </c>
    </row>
    <row r="210" spans="1:5" ht="358.8" x14ac:dyDescent="0.3">
      <c r="A210" s="5" t="str">
        <f ca="1">IF(checks!$B$2&lt;checks!$B$1,OFFSET(A210,0,(IF(control!$H$2&gt;$B$1-1,IF(control!$H$2&lt;$C$1+1,control!$H$2,1),1))),"please obtain an update from www.vision3000.eu ")</f>
        <v>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v>
      </c>
      <c r="B210" s="13" t="s">
        <v>992</v>
      </c>
      <c r="C210" s="6" t="s">
        <v>991</v>
      </c>
      <c r="D210" s="6"/>
      <c r="E210" s="6"/>
    </row>
    <row r="211" spans="1:5" ht="156" x14ac:dyDescent="0.3">
      <c r="A211" s="5" t="str">
        <f ca="1">IF(checks!$B$2&lt;checks!$B$1,OFFSET(A211,0,(IF(control!$H$2&gt;$B$1-1,IF(control!$H$2&lt;$C$1+1,control!$H$2,1),1))),"please obtain an update from www.vision3000.eu ")</f>
        <v>"Fraction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v>
      </c>
      <c r="B211" s="13" t="s">
        <v>994</v>
      </c>
      <c r="C211" s="6" t="s">
        <v>995</v>
      </c>
    </row>
    <row r="212" spans="1:5" ht="265.2" x14ac:dyDescent="0.3">
      <c r="A212" s="5" t="str">
        <f ca="1">IF(checks!$B$2&lt;checks!$B$1,OFFSET(A212,0,(IF(control!$H$2&gt;$B$1-1,IF(control!$H$2&lt;$C$1+1,control!$H$2,1),1))),"please obtain an update from www.vision3000.eu ")</f>
        <v>"Fraction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v>
      </c>
      <c r="B212" s="13" t="s">
        <v>996</v>
      </c>
      <c r="C212" s="6" t="s">
        <v>1001</v>
      </c>
    </row>
    <row r="213" spans="1:5" ht="156" x14ac:dyDescent="0.3">
      <c r="A213" s="5" t="str">
        <f ca="1">IF(checks!$B$2&lt;checks!$B$1,OFFSET(A213,0,(IF(control!$H$2&gt;$B$1-1,IF(control!$H$2&lt;$C$1+1,control!$H$2,1),1))),"please obtain an update from www.vision3000.eu ")</f>
        <v>"Intensification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v>
      </c>
      <c r="B213" s="13" t="s">
        <v>1002</v>
      </c>
      <c r="C213" s="6" t="s">
        <v>1003</v>
      </c>
      <c r="D213" s="6"/>
      <c r="E213" s="6"/>
    </row>
    <row r="214" spans="1:5" ht="187.2" x14ac:dyDescent="0.3">
      <c r="A214" s="5" t="str">
        <f ca="1">IF(checks!$B$2&lt;checks!$B$1,OFFSET(A214,0,(IF(control!$H$2&gt;$B$1-1,IF(control!$H$2&lt;$C$1+1,control!$H$2,1),1))),"please obtain an update from www.vision3000.eu ")</f>
        <v>"Intensification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v>
      </c>
      <c r="B214" s="13" t="s">
        <v>1004</v>
      </c>
      <c r="C214" s="6" t="s">
        <v>1005</v>
      </c>
      <c r="D214" s="6"/>
      <c r="E214" s="6"/>
    </row>
    <row r="215" spans="1:5" ht="78" x14ac:dyDescent="0.3">
      <c r="A215" s="5" t="str">
        <f ca="1">IF(checks!$B$2&lt;checks!$B$1,OFFSET(A215,0,(IF(control!$H$2&gt;$B$1-1,IF(control!$H$2&lt;$C$1+1,control!$H$2,1),1))),"please obtain an update from www.vision3000.eu ")</f>
        <v>"Fraction of cropland with organic farming" allows to account for more sustainable farming, where today the global fraction is around 4 %. Sustainable farming reduces the productivity per land area by roughly 15 %.</v>
      </c>
      <c r="B215" s="13" t="s">
        <v>1006</v>
      </c>
      <c r="C215" s="6" t="s">
        <v>1007</v>
      </c>
      <c r="D215" s="6"/>
      <c r="E215" s="6"/>
    </row>
    <row r="216" spans="1:5" ht="109.2" x14ac:dyDescent="0.3">
      <c r="A216" s="5" t="str">
        <f ca="1">IF(checks!$B$2&lt;checks!$B$1,OFFSET(A216,0,(IF(control!$H$2&gt;$B$1-1,IF(control!$H$2&lt;$C$1+1,control!$H$2,1),1))),"please obtain an update from www.vision3000.eu ")</f>
        <v>"Fraction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v>
      </c>
      <c r="B216" s="13" t="s">
        <v>343</v>
      </c>
      <c r="C216" s="6" t="s">
        <v>344</v>
      </c>
    </row>
    <row r="217" spans="1:5" ht="156" x14ac:dyDescent="0.3">
      <c r="A217" s="5" t="str">
        <f ca="1">IF(checks!$B$2&lt;checks!$B$1,OFFSET(A217,0,(IF(control!$H$2&gt;$B$1-1,IF(control!$H$2&lt;$C$1+1,control!$H$2,1),1))),"please obtain an update from www.vision3000.eu ")</f>
        <v>"Fraction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v>
      </c>
      <c r="B217" s="13" t="s">
        <v>1008</v>
      </c>
      <c r="C217" s="6" t="s">
        <v>1009</v>
      </c>
    </row>
    <row r="218" spans="1:5" ht="124.8" x14ac:dyDescent="0.3">
      <c r="A218" s="5" t="str">
        <f ca="1">IF(checks!$B$2&lt;checks!$B$1,OFFSET(A218,0,(IF(control!$H$2&gt;$B$1-1,IF(control!$H$2&lt;$C$1+1,control!$H$2,1),1))),"please obtain an update from www.vision3000.eu ")</f>
        <v>"Certainty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v>
      </c>
      <c r="B218" s="6" t="s">
        <v>1010</v>
      </c>
      <c r="C218" s="6" t="s">
        <v>345</v>
      </c>
    </row>
    <row r="219" spans="1:5" x14ac:dyDescent="0.3">
      <c r="A219" s="5" t="str">
        <f ca="1">IF(checks!$B$2&lt;checks!$B$1,OFFSET(A219,0,(IF(control!$H$2&gt;$B$1-1,IF(control!$H$2&lt;$C$1+1,control!$H$2,1),1))),"please obtain an update from www.vision3000.eu ")</f>
        <v>Copyright</v>
      </c>
      <c r="B219" s="13" t="s">
        <v>1011</v>
      </c>
      <c r="C219" s="6" t="s">
        <v>346</v>
      </c>
    </row>
    <row r="220" spans="1:5" ht="62.4" x14ac:dyDescent="0.3">
      <c r="A220" s="5" t="str">
        <f ca="1">IF(checks!$B$2&lt;checks!$B$1,OFFSET(A220,0,(IF(control!$H$2&gt;$B$1-1,IF(control!$H$2&lt;$C$1+1,control!$H$2,1),1))),"please obtain an update from www.vision3000.eu ")</f>
        <v>This excel file is supplied under the following license: Attribution-NonCommercial-ShareAlike 4.0 International (CC BY-NC-SA 4.0). This also applies for data that are generated with this excel.</v>
      </c>
      <c r="B220" s="13" t="s">
        <v>347</v>
      </c>
      <c r="C220" s="6" t="s">
        <v>348</v>
      </c>
    </row>
    <row r="221" spans="1:5" ht="78" x14ac:dyDescent="0.3">
      <c r="A221" s="5" t="str">
        <f ca="1">IF(checks!$B$2&lt;checks!$B$1,OFFSET(A221,0,(IF(control!$H$2&gt;$B$1-1,IF(control!$H$2&lt;$C$1+1,control!$H$2,1),1))),"please obtain an update from www.vision3000.eu ")</f>
        <v>Attribution, citation: Balance Based World Scenarios, Andreas Pfennig, University of Liège, Department of Chemical Engineering, https://www.chemeng.uliege.be/Pfennig, www.vision3000.eu</v>
      </c>
      <c r="B221" s="13" t="s">
        <v>980</v>
      </c>
      <c r="C221" s="6" t="s">
        <v>349</v>
      </c>
    </row>
    <row r="222" spans="1:5" ht="46.8" x14ac:dyDescent="0.3">
      <c r="A222" s="5" t="str">
        <f ca="1">IF(checks!$B$2&lt;checks!$B$1,OFFSET(A222,0,(IF(control!$H$2&gt;$B$1-1,IF(control!$H$2&lt;$C$1+1,control!$H$2,1),1))),"please obtain an update from www.vision3000.eu ")</f>
        <v>Note: This is a collection of some basic notes on how to use this excel and some assumptions. The background can be found in:</v>
      </c>
      <c r="B222" s="13" t="s">
        <v>350</v>
      </c>
      <c r="C222" s="6" t="s">
        <v>351</v>
      </c>
    </row>
    <row r="223" spans="1:5" ht="62.4" x14ac:dyDescent="0.3">
      <c r="A223" s="5" t="str">
        <f ca="1">IF(checks!$B$2&lt;checks!$B$1,OFFSET(A223,0,(IF(control!$H$2&gt;$B$1-1,IF(control!$H$2&lt;$C$1+1,control!$H$2,1),1))),"please obtain an update from www.vision3000.eu ")</f>
        <v xml:space="preserve">
Caution: The fraction of animal-based food is below current value. Reaching this may require significant effort to educate people!</v>
      </c>
      <c r="B223" s="13" t="s">
        <v>352</v>
      </c>
      <c r="C223" s="6" t="s">
        <v>353</v>
      </c>
    </row>
    <row r="224" spans="1:5" ht="78" x14ac:dyDescent="0.3">
      <c r="A224" s="5" t="str">
        <f ca="1">IF(checks!$B$2&lt;checks!$B$1,OFFSET(A224,0,(IF(control!$H$2&gt;$B$1-1,IF(control!$H$2&lt;$C$1+1,control!$H$2,1),1))),"please obtain an update from www.vision3000.eu ")</f>
        <v xml:space="preserve">
Caution: The future fraction of animal-based food lies below current value. Very intense education and strong political measures will be required to reach this value!</v>
      </c>
      <c r="B224" s="13" t="s">
        <v>1013</v>
      </c>
      <c r="C224" s="6" t="s">
        <v>1012</v>
      </c>
    </row>
    <row r="225" spans="1:3" x14ac:dyDescent="0.3">
      <c r="A225" s="5" t="str">
        <f ca="1">IF(checks!$B$2&lt;checks!$B$1,OFFSET(A225,0,(IF(control!$H$2&gt;$B$1-1,IF(control!$H$2&lt;$C$1+1,control!$H$2,1),1))),"please obtain an update from www.vision3000.eu ")</f>
        <v>description</v>
      </c>
      <c r="B225" s="6" t="s">
        <v>354</v>
      </c>
      <c r="C225" s="6" t="s">
        <v>355</v>
      </c>
    </row>
    <row r="226" spans="1:3" ht="31.2" x14ac:dyDescent="0.3">
      <c r="A226" s="5" t="str">
        <f ca="1">IF(checks!$B$2&lt;checks!$B$1,OFFSET(A226,0,(IF(control!$H$2&gt;$B$1-1,IF(control!$H$2&lt;$C$1+1,control!$H$2,1),1))),"please obtain an update from www.vision3000.eu ")</f>
        <v>settings to be copied into the red cells of the 'control' sheet</v>
      </c>
      <c r="B226" s="6" t="s">
        <v>356</v>
      </c>
      <c r="C226" s="6" t="s">
        <v>357</v>
      </c>
    </row>
    <row r="227" spans="1:3" x14ac:dyDescent="0.3">
      <c r="A227" s="5" t="str">
        <f ca="1">IF(checks!$B$2&lt;checks!$B$1,OFFSET(A227,0,(IF(control!$H$2&gt;$B$1-1,IF(control!$H$2&lt;$C$1+1,control!$H$2,1),1))),"please obtain an update from www.vision3000.eu ")</f>
        <v>comments</v>
      </c>
      <c r="B227" s="6" t="s">
        <v>358</v>
      </c>
      <c r="C227" s="6" t="s">
        <v>359</v>
      </c>
    </row>
    <row r="228" spans="1:3" x14ac:dyDescent="0.3">
      <c r="A228" s="5" t="str">
        <f ca="1">IF(checks!$B$2&lt;checks!$B$1,OFFSET(A228,0,(IF(control!$H$2&gt;$B$1-1,IF(control!$H$2&lt;$C$1+1,control!$H$2,1),1))),"please obtain an update from www.vision3000.eu ")</f>
        <v>Standard scenario with business as usual</v>
      </c>
      <c r="B228" s="6" t="s">
        <v>360</v>
      </c>
      <c r="C228" s="6" t="s">
        <v>361</v>
      </c>
    </row>
    <row r="229" spans="1:3" ht="46.8" x14ac:dyDescent="0.3">
      <c r="A229" s="5" t="str">
        <f ca="1">IF(checks!$B$2&lt;checks!$B$1,OFFSET(A229,0,(IF(control!$H$2&gt;$B$1-1,IF(control!$H$2&lt;$C$1+1,control!$H$2,1),1))),"please obtain an update from www.vision3000.eu ")</f>
        <v>A scenario where additionally the efforts for sustainable-energy transition are maximized starting 2025 so as to minimize climate change</v>
      </c>
      <c r="B229" s="6" t="s">
        <v>362</v>
      </c>
      <c r="C229" s="6" t="s">
        <v>363</v>
      </c>
    </row>
    <row r="230" spans="1:3" ht="46.8" x14ac:dyDescent="0.3">
      <c r="A230" s="5" t="str">
        <f ca="1">IF(checks!$B$2&lt;checks!$B$1,OFFSET(A230,0,(IF(control!$H$2&gt;$B$1-1,IF(control!$H$2&lt;$C$1+1,control!$H$2,1),1))),"please obtain an update from www.vision3000.eu ")</f>
        <v>A scenario where sustainable-energy transition is intensified and additionally sustainability is accounted for in agriculture</v>
      </c>
      <c r="B230" s="6" t="s">
        <v>364</v>
      </c>
      <c r="C230" s="6" t="s">
        <v>365</v>
      </c>
    </row>
    <row r="231" spans="1:3" ht="31.2" x14ac:dyDescent="0.3">
      <c r="A231" s="5" t="str">
        <f ca="1">IF(checks!$B$2&lt;checks!$B$1,OFFSET(A231,0,(IF(control!$H$2&gt;$B$1-1,IF(control!$H$2&lt;$C$1+1,control!$H$2,1),1))),"please obtain an update from www.vision3000.eu ")</f>
        <v>Scenario with additional shift to vegetarian nutrition</v>
      </c>
      <c r="B231" s="6" t="s">
        <v>366</v>
      </c>
      <c r="C231" s="6" t="s">
        <v>367</v>
      </c>
    </row>
    <row r="232" spans="1:3" ht="46.8" x14ac:dyDescent="0.3">
      <c r="A232" s="5" t="str">
        <f ca="1">IF(checks!$B$2&lt;checks!$B$1,OFFSET(A232,0,(IF(control!$H$2&gt;$B$1-1,IF(control!$H$2&lt;$C$1+1,control!$H$2,1),1))),"please obtain an update from www.vision3000.eu ")</f>
        <v>Scenario with afforestation maximized and significant contribution of BECCS/alternative at a high level</v>
      </c>
      <c r="B232" s="6" t="s">
        <v>368</v>
      </c>
      <c r="C232" s="6" t="s">
        <v>369</v>
      </c>
    </row>
    <row r="233" spans="1:3" ht="78" x14ac:dyDescent="0.3">
      <c r="A233" s="5" t="str">
        <f ca="1">IF(checks!$B$2&lt;checks!$B$1,OFFSET(A233,0,(IF(control!$H$2&gt;$B$1-1,IF(control!$H$2&lt;$C$1+1,control!$H$2,1),1))),"please obtain an update from www.vision3000.eu ")</f>
        <v>Scenario where additionally fraction of animal-based food is decreased such that enough food is available for everybody, which means only a marginal fraction of animal-based nutrition below 1 %.</v>
      </c>
      <c r="B233" s="6" t="s">
        <v>1028</v>
      </c>
      <c r="C233" s="6" t="s">
        <v>1027</v>
      </c>
    </row>
    <row r="234" spans="1:3" ht="124.8" x14ac:dyDescent="0.3">
      <c r="A234" s="5" t="str">
        <f ca="1">IF(checks!$B$2&lt;checks!$B$1,OFFSET(A234,0,(IF(control!$H$2&gt;$B$1-1,IF(control!$H$2&lt;$C$1+1,control!$H$2,1),1))),"please obtain an update from www.vision3000.eu ")</f>
        <v>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v>
      </c>
      <c r="B234" s="6" t="s">
        <v>370</v>
      </c>
      <c r="C234" s="6" t="s">
        <v>371</v>
      </c>
    </row>
    <row r="235" spans="1:3" x14ac:dyDescent="0.3">
      <c r="A235" s="5" t="str">
        <f ca="1">IF(checks!$B$2&lt;checks!$B$1,OFFSET(A235,0,(IF(control!$H$2&gt;$B$1-1,IF(control!$H$2&lt;$C$1+1,control!$H$2,1),1))),"please obtain an update from www.vision3000.eu ")</f>
        <v>Scenario as before with high population variant</v>
      </c>
      <c r="B235" s="6" t="s">
        <v>372</v>
      </c>
      <c r="C235" s="6" t="s">
        <v>373</v>
      </c>
    </row>
    <row r="236" spans="1:3" x14ac:dyDescent="0.3">
      <c r="A236" s="5" t="str">
        <f ca="1">IF(checks!$B$2&lt;checks!$B$1,OFFSET(A236,0,(IF(control!$H$2&gt;$B$1-1,IF(control!$H$2&lt;$C$1+1,control!$H$2,1),1))),"please obtain an update from www.vision3000.eu ")</f>
        <v>Scenario as before but with vegan nutrition</v>
      </c>
      <c r="B236" s="6" t="s">
        <v>374</v>
      </c>
      <c r="C236" s="6" t="s">
        <v>375</v>
      </c>
    </row>
    <row r="237" spans="1:3" ht="327.60000000000002" x14ac:dyDescent="0.3">
      <c r="A237" s="5" t="str">
        <f ca="1">IF(checks!$B$2&lt;checks!$B$1,OFFSET(A237,0,(IF(control!$H$2&gt;$B$1-1,IF(control!$H$2&lt;$C$1+1,control!$H$2,1),1))),"please obtain an update from www.vision3000.eu ")</f>
        <v>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v>
      </c>
      <c r="B237" s="6" t="s">
        <v>1035</v>
      </c>
      <c r="C237" s="6" t="s">
        <v>1036</v>
      </c>
    </row>
    <row r="238" spans="1:3" ht="62.4" x14ac:dyDescent="0.3">
      <c r="A238" s="5" t="str">
        <f ca="1">IF(checks!$B$2&lt;checks!$B$1,OFFSET(A238,0,(IF(control!$H$2&gt;$B$1-1,IF(control!$H$2&lt;$C$1+1,control!$H$2,1),1))),"please obtain an update from www.vision3000.eu ")</f>
        <v>temperature increase above 4 °C above preindustrial, still increasing in 2100, the agriculture is not sustainable, the food shortage is partly more pronounced than today</v>
      </c>
      <c r="B238" s="6" t="s">
        <v>1017</v>
      </c>
      <c r="C238" s="6" t="s">
        <v>1016</v>
      </c>
    </row>
    <row r="239" spans="1:3" ht="46.8" x14ac:dyDescent="0.3">
      <c r="A239" s="5" t="str">
        <f ca="1">IF(checks!$B$2&lt;checks!$B$1,OFFSET(A239,0,(IF(control!$H$2&gt;$B$1-1,IF(control!$H$2&lt;$C$1+1,control!$H$2,1),1))),"please obtain an update from www.vision3000.eu ")</f>
        <v>temperature increase to 1.75 °C, stabilized by 2100, but still not enough food for everybody, agriculture is not sustainable</v>
      </c>
      <c r="B239" s="6" t="s">
        <v>1019</v>
      </c>
      <c r="C239" s="6" t="s">
        <v>1018</v>
      </c>
    </row>
    <row r="240" spans="1:3" ht="46.8" x14ac:dyDescent="0.3">
      <c r="A240" s="5" t="str">
        <f ca="1">IF(checks!$B$2&lt;checks!$B$1,OFFSET(A240,0,(IF(control!$H$2&gt;$B$1-1,IF(control!$H$2&lt;$C$1+1,control!$H$2,1),1))),"please obtain an update from www.vision3000.eu ")</f>
        <v>intensifying sustainable energy transition limits temperature to 1.61°C but sustainable farming increases food shortage</v>
      </c>
      <c r="B240" s="6" t="s">
        <v>1022</v>
      </c>
      <c r="C240" s="6" t="s">
        <v>1021</v>
      </c>
    </row>
    <row r="241" spans="1:3" ht="31.2" x14ac:dyDescent="0.3">
      <c r="A241" s="5" t="str">
        <f ca="1">IF(checks!$B$2&lt;checks!$B$1,OFFSET(A241,0,(IF(control!$H$2&gt;$B$1-1,IF(control!$H$2&lt;$C$1+1,control!$H$2,1),1))),"please obtain an update from www.vision3000.eu ")</f>
        <v>temperature increase of 1.61°C but not decreasing in 2100, sufficient food for everybody</v>
      </c>
      <c r="B241" s="6" t="s">
        <v>1023</v>
      </c>
      <c r="C241" s="6" t="s">
        <v>1024</v>
      </c>
    </row>
    <row r="242" spans="1:3" ht="46.8" x14ac:dyDescent="0.3">
      <c r="A242" s="5" t="str">
        <f ca="1">IF(checks!$B$2&lt;checks!$B$1,OFFSET(A242,0,(IF(control!$H$2&gt;$B$1-1,IF(control!$H$2&lt;$C$1+1,control!$H$2,1),1))),"please obtain an update from www.vision3000.eu ")</f>
        <v>temperature comes to below 1.2° C by 2100, still decreasing, but now food supply is no longer sufficient</v>
      </c>
      <c r="B242" s="6" t="s">
        <v>1025</v>
      </c>
      <c r="C242" s="6" t="s">
        <v>1026</v>
      </c>
    </row>
    <row r="243" spans="1:3" ht="31.2" x14ac:dyDescent="0.3">
      <c r="A243" s="5" t="str">
        <f ca="1">IF(checks!$B$2&lt;checks!$B$1,OFFSET(A243,0,(IF(control!$H$2&gt;$B$1-1,IF(control!$H$2&lt;$C$1+1,control!$H$2,1),1))),"please obtain an update from www.vision3000.eu ")</f>
        <v>temperature is still controlled as before but now food is sufficient to feed everybody</v>
      </c>
      <c r="B243" s="6" t="s">
        <v>376</v>
      </c>
      <c r="C243" s="6" t="s">
        <v>1031</v>
      </c>
    </row>
    <row r="244" spans="1:3" ht="31.2" x14ac:dyDescent="0.3">
      <c r="A244" s="5" t="str">
        <f ca="1">IF(checks!$B$2&lt;checks!$B$1,OFFSET(A244,0,(IF(control!$H$2&gt;$B$1-1,IF(control!$H$2&lt;$C$1+1,control!$H$2,1),1))),"please obtain an update from www.vision3000.eu ")</f>
        <v>temperature is essentially unchanged, but now food is again not sufficient to feed everybody</v>
      </c>
      <c r="B244" s="6" t="s">
        <v>377</v>
      </c>
      <c r="C244" s="6" t="s">
        <v>1032</v>
      </c>
    </row>
    <row r="245" spans="1:3" ht="78" x14ac:dyDescent="0.3">
      <c r="A245" s="5" t="str">
        <f ca="1">IF(checks!$B$2&lt;checks!$B$1,OFFSET(A245,0,(IF(control!$H$2&gt;$B$1-1,IF(control!$H$2&lt;$C$1+1,control!$H$2,1),1))),"please obtain an update from www.vision3000.eu ")</f>
        <v>temperature is controlled, but even with vegan nutrition not enough food is available, also we utilize the complete available land area completely, thus, there remains no distance to the planetary boundaries</v>
      </c>
      <c r="B245" s="6" t="s">
        <v>1030</v>
      </c>
      <c r="C245" s="6" t="s">
        <v>1029</v>
      </c>
    </row>
    <row r="246" spans="1:3" x14ac:dyDescent="0.3">
      <c r="A246" s="5" t="str">
        <f ca="1">IF(checks!$B$2&lt;checks!$B$1,OFFSET(A246,0,(IF(control!$H$2&gt;$B$1-1,IF(control!$H$2&lt;$C$1+1,control!$H$2,1),1))),"please obtain an update from www.vision3000.eu ")</f>
        <v>Sources</v>
      </c>
      <c r="B246" s="6" t="s">
        <v>378</v>
      </c>
      <c r="C246" s="6" t="s">
        <v>379</v>
      </c>
    </row>
    <row r="247" spans="1:3" x14ac:dyDescent="0.3">
      <c r="A247" s="5" t="str">
        <f ca="1">IF(checks!$B$2&lt;checks!$B$1,OFFSET(A247,0,(IF(control!$H$2&gt;$B$1-1,IF(control!$H$2&lt;$C$1+1,control!$H$2,1),1))),"please obtain an update from www.vision3000.eu ")</f>
        <v>world population</v>
      </c>
      <c r="B247" s="6" t="s">
        <v>36</v>
      </c>
      <c r="C247" s="6" t="s">
        <v>37</v>
      </c>
    </row>
    <row r="248" spans="1:3" x14ac:dyDescent="0.3">
      <c r="A248" s="5" t="str">
        <f ca="1">IF(checks!$B$2&lt;checks!$B$1,OFFSET(A248,0,(IF(control!$H$2&gt;$B$1-1,IF(control!$H$2&lt;$C$1+1,control!$H$2,1),1))),"please obtain an update from www.vision3000.eu ")</f>
        <v>energy data</v>
      </c>
      <c r="B248" s="6" t="s">
        <v>380</v>
      </c>
      <c r="C248" s="6" t="s">
        <v>381</v>
      </c>
    </row>
    <row r="249" spans="1:3" x14ac:dyDescent="0.3">
      <c r="A249" s="5" t="str">
        <f ca="1">IF(checks!$B$2&lt;checks!$B$1,OFFSET(A249,0,(IF(control!$H$2&gt;$B$1-1,IF(control!$H$2&lt;$C$1+1,control!$H$2,1),1))),"please obtain an update from www.vision3000.eu ")</f>
        <v>land area and agriculture</v>
      </c>
      <c r="B249" s="6" t="s">
        <v>382</v>
      </c>
      <c r="C249" s="6" t="s">
        <v>383</v>
      </c>
    </row>
    <row r="250" spans="1:3" x14ac:dyDescent="0.3">
      <c r="A250" s="5" t="str">
        <f ca="1">IF(checks!$B$2&lt;checks!$B$1,OFFSET(A250,0,(IF(control!$H$2&gt;$B$1-1,IF(control!$H$2&lt;$C$1+1,control!$H$2,1),1))),"please obtain an update from www.vision3000.eu ")</f>
        <v>carbon balance</v>
      </c>
      <c r="B250" s="6" t="s">
        <v>384</v>
      </c>
      <c r="C250" s="6" t="s">
        <v>385</v>
      </c>
    </row>
    <row r="251" spans="1:3" x14ac:dyDescent="0.3">
      <c r="A251" s="5" t="str">
        <f ca="1">IF(checks!$B$2&lt;checks!$B$1,OFFSET(A251,0,(IF(control!$H$2&gt;$B$1-1,IF(control!$H$2&lt;$C$1+1,control!$H$2,1),1))),"please obtain an update from www.vision3000.eu ")</f>
        <v>primary energy demand</v>
      </c>
      <c r="B251" s="6" t="s">
        <v>386</v>
      </c>
      <c r="C251" s="6" t="s">
        <v>387</v>
      </c>
    </row>
    <row r="252" spans="1:3" x14ac:dyDescent="0.3">
      <c r="A252" s="5" t="str">
        <f ca="1">IF(checks!$B$2&lt;checks!$B$1,OFFSET(A252,0,(IF(control!$H$2&gt;$B$1-1,IF(control!$H$2&lt;$C$1+1,control!$H$2,1),1))),"please obtain an update from www.vision3000.eu ")</f>
        <v>CO2 storage capacity</v>
      </c>
      <c r="B252" s="6" t="s">
        <v>388</v>
      </c>
      <c r="C252" s="6" t="s">
        <v>389</v>
      </c>
    </row>
    <row r="253" spans="1:3" x14ac:dyDescent="0.3">
      <c r="A253" s="5" t="str">
        <f ca="1">IF(checks!$B$2&lt;checks!$B$1,OFFSET(A253,0,(IF(control!$H$2&gt;$B$1-1,IF(control!$H$2&lt;$C$1+1,control!$H$2,1),1))),"please obtain an update from www.vision3000.eu ")</f>
        <v>CO2 to methanol</v>
      </c>
      <c r="B253" s="6" t="s">
        <v>390</v>
      </c>
      <c r="C253" s="6" t="s">
        <v>391</v>
      </c>
    </row>
    <row r="254" spans="1:3" ht="46.8" x14ac:dyDescent="0.3">
      <c r="A254" s="5" t="str">
        <f ca="1">IF(checks!$B$2&lt;checks!$B$1,OFFSET(A254,0,(IF(control!$H$2&gt;$B$1-1,IF(control!$H$2&lt;$C$1+1,control!$H$2,1),1))),"please obtain an update from www.vision3000.eu ")</f>
        <v>accumulated data are shifted to match IPCC data from Table 2-2 on accumulated budget at the end of 2017 in</v>
      </c>
      <c r="B254" s="6" t="s">
        <v>392</v>
      </c>
      <c r="C254" s="6" t="s">
        <v>393</v>
      </c>
    </row>
    <row r="255" spans="1:3" x14ac:dyDescent="0.3">
      <c r="A255" s="5" t="str">
        <f ca="1">IF(checks!$B$2&lt;checks!$B$1,OFFSET(A255,0,(IF(control!$H$2&gt;$B$1-1,IF(control!$H$2&lt;$C$1+1,control!$H$2,1),1))),"please obtain an update from www.vision3000.eu ")</f>
        <v>energy requirement relative to energy content</v>
      </c>
      <c r="B255" s="6" t="s">
        <v>394</v>
      </c>
      <c r="C255" s="6" t="s">
        <v>395</v>
      </c>
    </row>
    <row r="256" spans="1:3" ht="31.2" x14ac:dyDescent="0.3">
      <c r="A256" s="5" t="str">
        <f ca="1">IF(checks!$B$2&lt;checks!$B$1,OFFSET(A256,0,(IF(control!$H$2&gt;$B$1-1,IF(control!$H$2&lt;$C$1+1,control!$H$2,1),1))),"please obtain an update from www.vision3000.eu ")</f>
        <v>certainty with which the climate goal shall be reached</v>
      </c>
      <c r="B256" s="6" t="s">
        <v>396</v>
      </c>
      <c r="C256" s="6" t="s">
        <v>397</v>
      </c>
    </row>
    <row r="257" spans="1:4" ht="31.2" x14ac:dyDescent="0.3">
      <c r="A257" s="5" t="str">
        <f ca="1">IF(checks!$B$2&lt;checks!$B$1,OFFSET(A257,0,(IF(control!$H$2&gt;$B$1-1,IF(control!$H$2&lt;$C$1+1,control!$H$2,1),1))),"please obtain an update from www.vision3000.eu ")</f>
        <v>chosen percentile for climate response to CO2 emissions</v>
      </c>
      <c r="B257" s="6" t="s">
        <v>398</v>
      </c>
      <c r="C257" s="6" t="s">
        <v>399</v>
      </c>
    </row>
    <row r="258" spans="1:4" x14ac:dyDescent="0.3">
      <c r="A258" s="5" t="str">
        <f ca="1">IF(checks!$B$2&lt;checks!$B$1,OFFSET(A258,0,(IF(control!$H$2&gt;$B$1-1,IF(control!$H$2&lt;$C$1+1,control!$H$2,1),1))),"please obtain an update from www.vision3000.eu ")</f>
        <v>chosen slope of climate response to CO2 emissions</v>
      </c>
      <c r="B258" s="6" t="s">
        <v>400</v>
      </c>
      <c r="C258" s="6" t="s">
        <v>401</v>
      </c>
    </row>
    <row r="259" spans="1:4" x14ac:dyDescent="0.3">
      <c r="A259" s="5" t="str">
        <f ca="1">IF(checks!$B$2&lt;checks!$B$1,OFFSET(A259,0,(IF(control!$H$2&gt;$B$1-1,IF(control!$H$2&lt;$C$1+1,control!$H$2,1),1))),"please obtain an update from www.vision3000.eu ")</f>
        <v>primary energy 2100 incl. add. shares / value today</v>
      </c>
      <c r="B259" s="6" t="s">
        <v>402</v>
      </c>
      <c r="C259" s="6" t="s">
        <v>403</v>
      </c>
    </row>
    <row r="260" spans="1:4" x14ac:dyDescent="0.3">
      <c r="A260" s="5" t="str">
        <f ca="1">IF(checks!$B$2&lt;checks!$B$1,OFFSET(A260,0,(IF(control!$H$2&gt;$B$1-1,IF(control!$H$2&lt;$C$1+1,control!$H$2,1),1))),"please obtain an update from www.vision3000.eu ")</f>
        <v>scenarios of other studies</v>
      </c>
      <c r="B260" s="6" t="s">
        <v>404</v>
      </c>
      <c r="C260" s="6" t="s">
        <v>405</v>
      </c>
    </row>
    <row r="261" spans="1:4" s="5" customFormat="1" ht="46.8" x14ac:dyDescent="0.3">
      <c r="A261" s="5" t="str">
        <f ca="1">IF(checks!$B$2&lt;checks!$B$1,OFFSET(A261,0,(IF(control!$H$2&gt;$B$1-1,IF(control!$H$2&lt;$C$1+1,control!$H$2,1),1))),"please obtain an update from www.vision3000.eu ")</f>
        <v>Note: Other studies cannot be exactly matched. Only roughly the overall behavior is mimicked. Please see individual notes for comments.</v>
      </c>
      <c r="B261" s="6" t="s">
        <v>406</v>
      </c>
      <c r="C261" s="6" t="s">
        <v>407</v>
      </c>
      <c r="D261" s="313"/>
    </row>
    <row r="262" spans="1:4" ht="31.2" x14ac:dyDescent="0.3">
      <c r="A262" s="5" t="str">
        <f ca="1">IF(checks!$B$2&lt;checks!$B$1,OFFSET(A262,0,(IF(control!$H$2&gt;$B$1-1,IF(control!$H$2&lt;$C$1+1,control!$H$2,1),1))),"please obtain an update from www.vision3000.eu ")</f>
        <v>Author and copyright: Andreas Pfennig. Details see here.</v>
      </c>
      <c r="B262" s="6" t="s">
        <v>408</v>
      </c>
      <c r="C262" s="6" t="s">
        <v>409</v>
      </c>
    </row>
    <row r="263" spans="1:4" ht="140.4" x14ac:dyDescent="0.3">
      <c r="A263" s="5" t="str">
        <f ca="1">IF(checks!$B$2&lt;checks!$B$1,OFFSET(A263,0,(IF(control!$H$2&gt;$B$1-1,IF(control!$H$2&lt;$C$1+1,control!$H$2,1),1))),"please obtain an update from www.vision3000.eu ")</f>
        <v xml:space="preserve">
Warning: The UN has always upward corrected their population projections. Since additionally this population development lies below the 95% probability limit indicated by the UN, such a low population growth is extremely unlikely and would require a very fundamental shift in perceiving the issue of family planning as well as extreme increase in developmental aids!</v>
      </c>
      <c r="B263" s="6" t="s">
        <v>410</v>
      </c>
      <c r="C263" s="6" t="s">
        <v>958</v>
      </c>
    </row>
    <row r="264" spans="1:4" x14ac:dyDescent="0.3">
      <c r="A264" s="5" t="str">
        <f ca="1">IF(checks!$B$2&lt;checks!$B$1,OFFSET(A264,0,(IF(control!$H$2&gt;$B$1-1,IF(control!$H$2&lt;$C$1+1,control!$H$2,1),1))),"please obtain an update from www.vision3000.eu ")</f>
        <v>year in which BECCS or alternative starts</v>
      </c>
      <c r="B264" s="6" t="s">
        <v>411</v>
      </c>
      <c r="C264" s="6" t="s">
        <v>412</v>
      </c>
    </row>
    <row r="265" spans="1:4" ht="78" x14ac:dyDescent="0.3">
      <c r="A265" s="5" t="str">
        <f ca="1">IF(checks!$B$2&lt;checks!$B$1,OFFSET(A265,0,(IF(control!$H$2&gt;$B$1-1,IF(control!$H$2&lt;$C$1+1,control!$H$2,1),1))),"please obtain an update from www.vision3000.eu ")</f>
        <v xml:space="preserve">
Warning: The per-capita primary-energy demand incl. that for CO2-based economy is more than twice the current value. Thus, the overall energy expenses may be excessive!</v>
      </c>
      <c r="B265" s="6" t="s">
        <v>934</v>
      </c>
      <c r="C265" s="6" t="s">
        <v>935</v>
      </c>
    </row>
    <row r="266" spans="1:4" ht="78" x14ac:dyDescent="0.3">
      <c r="A266" s="5" t="str">
        <f ca="1">IF(checks!$B$2&lt;checks!$B$1,OFFSET(A266,0,(IF(control!$H$2&gt;$B$1-1,IF(control!$H$2&lt;$C$1+1,control!$H$2,1),1))),"please obtain an update from www.vision3000.eu ")</f>
        <v xml:space="preserve">
Caution: The per-capita primary-energy demand is more than 1.5 times higher than the current value. Thus, the overall energy expenses may be relatively high!</v>
      </c>
      <c r="B266" s="6" t="s">
        <v>413</v>
      </c>
      <c r="C266" s="6" t="s">
        <v>414</v>
      </c>
    </row>
    <row r="267" spans="1:4" ht="93.6" x14ac:dyDescent="0.3">
      <c r="A267" s="5" t="str">
        <f ca="1">IF(checks!$B$2&lt;checks!$B$1,OFFSET(A267,0,(IF(control!$H$2&gt;$B$1-1,IF(control!$H$2&lt;$C$1+1,control!$H$2,1),1))),"please obtain an update from www.vision3000.eu ")</f>
        <v xml:space="preserve">
Caution: Using CO2 as feedstock for chemicals, materials, and fuels has the advantage of not competing with food production for land area. But the technology is very energy consuming, which may be rather expensive. </v>
      </c>
      <c r="B267" s="6" t="s">
        <v>960</v>
      </c>
      <c r="C267" s="6" t="s">
        <v>959</v>
      </c>
    </row>
    <row r="268" spans="1:4" ht="78" x14ac:dyDescent="0.3">
      <c r="A268" s="5" t="str">
        <f ca="1">IF(checks!$B$2&lt;checks!$B$1,OFFSET(A268,0,(IF(control!$H$2&gt;$B$1-1,IF(control!$H$2&lt;$C$1+1,control!$H$2,1),1))),"please obtain an update from www.vision3000.eu ")</f>
        <v xml:space="preserve">
Warning: Using CO2 to such large extent as feedstock for chemicals, materials, and fuels will require excessive additional energy, leading to high energy and material costs! </v>
      </c>
      <c r="B268" s="6" t="s">
        <v>962</v>
      </c>
      <c r="C268" s="6" t="s">
        <v>961</v>
      </c>
    </row>
    <row r="269" spans="1:4" ht="78" x14ac:dyDescent="0.3">
      <c r="A269" s="5" t="str">
        <f ca="1">IF(checks!$B$2&lt;checks!$B$1,OFFSET(A269,0,(IF(control!$H$2&gt;$B$1-1,IF(control!$H$2&lt;$C$1+1,control!$H$2,1),1))),"please obtain an update from www.vision3000.eu ")</f>
        <v xml:space="preserve">
Warning: Direct air carbon capture (DACC) has until now not been shown to be feasible on larger scale. Thus, scenarios that rely on this technology may not be realizable or create excessive costs!</v>
      </c>
      <c r="B269" s="6" t="s">
        <v>415</v>
      </c>
      <c r="C269" s="6" t="s">
        <v>416</v>
      </c>
    </row>
    <row r="270" spans="1:4" ht="93.6" x14ac:dyDescent="0.3">
      <c r="A270" s="5" t="str">
        <f ca="1">IF(checks!$B$2&lt;checks!$B$1,OFFSET(A270,0,(IF(control!$H$2&gt;$B$1-1,IF(control!$H$2&lt;$C$1+1,control!$H$2,1),1))),"please obtain an update from www.vision3000.eu ")</f>
        <v xml:space="preserve">
Warning: A certainty of below 50% for achieving the indicated temperature means that it is more likely that the temperature will not be reached than that it will be reached. This adds significant risk to the scenario!</v>
      </c>
      <c r="B270" s="6" t="s">
        <v>417</v>
      </c>
      <c r="C270" s="6" t="s">
        <v>418</v>
      </c>
    </row>
    <row r="271" spans="1:4" x14ac:dyDescent="0.3">
      <c r="A271" s="5" t="str">
        <f ca="1">IF(checks!$B$2&lt;checks!$B$1,OFFSET(A271,0,(IF(control!$H$2&gt;$B$1-1,IF(control!$H$2&lt;$C$1+1,control!$H$2,1),1))),"please obtain an update from www.vision3000.eu ")</f>
        <v>acknowledgements</v>
      </c>
      <c r="B271" s="6" t="s">
        <v>419</v>
      </c>
      <c r="C271" s="6" t="s">
        <v>420</v>
      </c>
    </row>
    <row r="272" spans="1:4" ht="62.4" x14ac:dyDescent="0.3">
      <c r="A272" s="5" t="str">
        <f ca="1">IF(checks!$B$2&lt;checks!$B$1,OFFSET(A272,0,(IF(control!$H$2&gt;$B$1-1,IF(control!$H$2&lt;$C$1+1,control!$H$2,1),1))),"please obtain an update from www.vision3000.eu ")</f>
        <v>I would like to thank Dr. Alexander Graf for the very detailed discussion on the consequences of afforestation and Dr. Peter Klafka for helpful discussions on renewable energies.</v>
      </c>
      <c r="B272" s="6" t="s">
        <v>421</v>
      </c>
      <c r="C272" s="6" t="s">
        <v>422</v>
      </c>
    </row>
    <row r="273" spans="1:3" ht="62.4" x14ac:dyDescent="0.3">
      <c r="A273" s="5" t="str">
        <f ca="1">IF(checks!$B$2&lt;checks!$B$1,OFFSET(A273,0,(IF(control!$H$2&gt;$B$1-1,IF(control!$H$2&lt;$C$1+1,control!$H$2,1),1))),"please obtain an update from www.vision3000.eu ")</f>
        <v xml:space="preserve">
Caution: Currently, a fraction of 12% fertile land area is required for being certified as appropriately considering biodiversity.</v>
      </c>
      <c r="B273" s="6" t="s">
        <v>423</v>
      </c>
      <c r="C273" s="6" t="s">
        <v>424</v>
      </c>
    </row>
    <row r="274" spans="1:3" ht="62.4" x14ac:dyDescent="0.3">
      <c r="A274" s="5" t="str">
        <f ca="1">IF(checks!$B$2&lt;checks!$B$1,OFFSET(A274,0,(IF(control!$H$2&gt;$B$1-1,IF(control!$H$2&lt;$C$1+1,control!$H$2,1),1))),"please obtain an update from www.vision3000.eu ")</f>
        <v xml:space="preserve">
Caution: To ensure long-term fertility and minimize fertilizer demand, it is desired that 100% of fertile land area are cultivated in a sustainable way!</v>
      </c>
      <c r="B274" s="6" t="s">
        <v>425</v>
      </c>
      <c r="C274" s="6" t="s">
        <v>426</v>
      </c>
    </row>
    <row r="275" spans="1:3" ht="109.2" x14ac:dyDescent="0.3">
      <c r="A275" s="5" t="str">
        <f ca="1">IF(checks!$B$2&lt;checks!$B$1,OFFSET(A275,0,(IF(control!$H$2&gt;$B$1-1,IF(control!$H$2&lt;$C$1+1,control!$H$2,1),1))),"please obtain an update from www.vision3000.eu ")</f>
        <v xml:space="preserve">
Warning: For some years during this century there is not enough agricultural land available to feed everybody. Slowing down some of the transitions may allow a safer transition path. If this cannot be realized, either deforestation may be  required or more people will be undernourished!</v>
      </c>
      <c r="B275" s="6" t="s">
        <v>427</v>
      </c>
      <c r="C275" s="6" t="s">
        <v>428</v>
      </c>
    </row>
    <row r="276" spans="1:3" ht="78" x14ac:dyDescent="0.3">
      <c r="A276" s="5" t="str">
        <f ca="1">IF(checks!$B$2&lt;checks!$B$1,OFFSET(A276,0,(IF(control!$H$2&gt;$B$1-1,IF(control!$H$2&lt;$C$1+1,control!$H$2,1),1))),"please obtain an update from www.vision3000.eu ")</f>
        <v xml:space="preserve">
Warning: The rate of BECCS and alternatives exceeds what may be feasible according to estimates of the IPCC in the Fifth Assessment Report.</v>
      </c>
      <c r="B276" s="6" t="s">
        <v>429</v>
      </c>
      <c r="C276" s="6" t="s">
        <v>430</v>
      </c>
    </row>
    <row r="277" spans="1:3" ht="31.2" x14ac:dyDescent="0.3">
      <c r="A277" s="5" t="str">
        <f ca="1">IF(checks!$B$2&lt;checks!$B$1,OFFSET(A277,0,(IF(control!$H$2&gt;$B$1-1,IF(control!$H$2&lt;$C$1+1,control!$H$2,1),1))),"please obtain an update from www.vision3000.eu ")</f>
        <v>maximum CO2 capture capacity by BECCS and Alternatives after IPCC</v>
      </c>
      <c r="B277" s="11" t="s">
        <v>431</v>
      </c>
      <c r="C277" s="6" t="s">
        <v>432</v>
      </c>
    </row>
    <row r="278" spans="1:3" x14ac:dyDescent="0.3">
      <c r="A278" s="5" t="str">
        <f ca="1">IF(checks!$B$2&lt;checks!$B$1,OFFSET(A278,0,(IF(control!$H$2&gt;$B$1-1,IF(control!$H$2&lt;$C$1+1,control!$H$2,1),1))),"please obtain an update from www.vision3000.eu ")</f>
        <v>maximum CO2 capture capacity</v>
      </c>
      <c r="B278" s="6" t="s">
        <v>433</v>
      </c>
      <c r="C278" s="6" t="s">
        <v>434</v>
      </c>
    </row>
    <row r="279" spans="1:3" ht="312" x14ac:dyDescent="0.3">
      <c r="A279" s="5" t="str">
        <f ca="1">IF(checks!$B$2&lt;checks!$B$1,OFFSET(A279,0,(IF(control!$H$2&gt;$B$1-1,IF(control!$H$2&lt;$C$1+1,control!$H$2,1),1))),"please obtain an update from www.vision3000.eu ")</f>
        <v>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v>
      </c>
      <c r="B279" s="6" t="s">
        <v>1034</v>
      </c>
      <c r="C279" s="6" t="s">
        <v>1033</v>
      </c>
    </row>
    <row r="280" spans="1:3" ht="109.2" x14ac:dyDescent="0.3">
      <c r="A280" s="5" t="str">
        <f ca="1">IF(checks!$B$2&lt;checks!$B$1,OFFSET(A280,0,(IF(control!$H$2&gt;$B$1-1,IF(control!$H$2&lt;$C$1+1,control!$H$2,1),1))),"please obtain an update from www.vision3000.eu ")</f>
        <v xml:space="preserve">
Warning: If the reduction of atmospheric CO2 concentration takes too long, the established consequences of climate change may not be reversible any more! Currently, it is not scientifically clear, if the relevant time scale is millennia or possibly only several centuries.</v>
      </c>
      <c r="B280" s="6" t="s">
        <v>435</v>
      </c>
      <c r="C280" s="6" t="s">
        <v>436</v>
      </c>
    </row>
    <row r="281" spans="1:3" ht="140.4" x14ac:dyDescent="0.3">
      <c r="A281" s="5" t="str">
        <f ca="1">IF(checks!$B$2&lt;checks!$B$1,OFFSET(A281,0,(IF(control!$H$2&gt;$B$1-1,IF(control!$H$2&lt;$C$1+1,control!$H$2,1),1))),"please obtain an update from www.vision3000.eu ")</f>
        <v xml:space="preserve">
Caution: For this setting for agricultural intensification, the agricultural productivity has to increase continually as in the last decades. This applies to plant-based as well as well as animal-based food. Such a low factor forces agriculture to intensify as in the past. If e.g. climate change adversely affects agricultural productivity, such high yield can not be ensured.</v>
      </c>
      <c r="B281" s="6" t="s">
        <v>437</v>
      </c>
      <c r="C281" s="6" t="s">
        <v>438</v>
      </c>
    </row>
    <row r="282" spans="1:3" ht="31.2" x14ac:dyDescent="0.3">
      <c r="A282" s="5" t="str">
        <f ca="1">IF(checks!$B$2&lt;checks!$B$1,OFFSET(A282,0,(IF(control!$H$2&gt;$B$1-1,IF(control!$H$2&lt;$C$1+1,control!$H$2,1),1))),"please obtain an update from www.vision3000.eu ")</f>
        <v>lower 95% probability limit of the UN probabilistic projections for 2100 of WPP2019</v>
      </c>
      <c r="B282" s="6" t="s">
        <v>849</v>
      </c>
      <c r="C282" s="6" t="s">
        <v>848</v>
      </c>
    </row>
    <row r="283" spans="1:3" ht="31.2" x14ac:dyDescent="0.3">
      <c r="A283" s="5" t="str">
        <f ca="1">IF(checks!$B$2&lt;checks!$B$1,OFFSET(A283,0,(IF(control!$H$2&gt;$B$1-1,IF(control!$H$2&lt;$C$1+1,control!$H$2,1),1))),"please obtain an update from www.vision3000.eu ")</f>
        <v>lower limit for definitely increased effort to control population growth</v>
      </c>
      <c r="B283" s="6" t="s">
        <v>439</v>
      </c>
      <c r="C283" s="6" t="s">
        <v>440</v>
      </c>
    </row>
    <row r="284" spans="1:3" ht="31.2" x14ac:dyDescent="0.3">
      <c r="A284" s="5" t="str">
        <f ca="1">IF(checks!$B$2&lt;checks!$B$1,OFFSET(A284,0,(IF(control!$H$2&gt;$B$1-1,IF(control!$H$2&lt;$C$1+1,control!$H$2,1),1))),"please obtain an update from www.vision3000.eu ")</f>
        <v>lower limit for possibly increased efforts to control population growth</v>
      </c>
      <c r="B284" s="6" t="s">
        <v>441</v>
      </c>
      <c r="C284" s="6" t="s">
        <v>442</v>
      </c>
    </row>
    <row r="285" spans="1:3" ht="62.4" x14ac:dyDescent="0.3">
      <c r="A285" s="5" t="str">
        <f ca="1">IF(checks!$B$2&lt;checks!$B$1,OFFSET(A285,0,(IF(control!$H$2&gt;$B$1-1,IF(control!$H$2&lt;$C$1+1,control!$H$2,1),1))),"please obtain an update from www.vision3000.eu ")</f>
        <v xml:space="preserve">
Warning: DACCS will require large amounts of primary energy leading to significant increase in electricity cost.</v>
      </c>
      <c r="B285" s="6" t="s">
        <v>813</v>
      </c>
      <c r="C285" s="6" t="s">
        <v>814</v>
      </c>
    </row>
    <row r="286" spans="1:3" ht="109.2" x14ac:dyDescent="0.3">
      <c r="A286" s="5" t="str">
        <f ca="1">IF(checks!$B$2&lt;checks!$B$1,OFFSET(A286,0,(IF(control!$H$2&gt;$B$1-1,IF(control!$H$2&lt;$C$1+1,control!$H$2,1),1))),"please obtain an update from www.vision3000.eu ")</f>
        <v>"Contribution of DACCS to CO2 removal" indicates how much direct CO2 capture from air and storage is realized. As a reference, today around 42 Gt CO2 are emitted anually. If a significant contribution to reduction of CO2 concetrantion in the atmoisphere is desired, the value should constitute significant fractions of this.</v>
      </c>
      <c r="B286" s="6" t="s">
        <v>817</v>
      </c>
      <c r="C286" s="6" t="s">
        <v>818</v>
      </c>
    </row>
    <row r="287" spans="1:3" x14ac:dyDescent="0.3">
      <c r="A287" s="5" t="str">
        <f ca="1">IF(checks!$B$2&lt;checks!$B$1,OFFSET(A287,0,(IF(control!$H$2&gt;$B$1-1,IF(control!$H$2&lt;$C$1+1,control!$H$2,1),1))),"please obtain an update from www.vision3000.eu ")</f>
        <v>year until DACCS will be fully established</v>
      </c>
      <c r="B287" s="6" t="s">
        <v>833</v>
      </c>
      <c r="C287" s="6" t="s">
        <v>834</v>
      </c>
    </row>
    <row r="288" spans="1:3" x14ac:dyDescent="0.3">
      <c r="A288" s="5" t="str">
        <f ca="1">IF(checks!$B$2&lt;checks!$B$1,OFFSET(A288,0,(IF(control!$H$2&gt;$B$1-1,IF(control!$H$2&lt;$C$1+1,control!$H$2,1),1))),"please obtain an update from www.vision3000.eu ")</f>
        <v>year from which on DACCS will be implemented</v>
      </c>
      <c r="B288" s="6" t="s">
        <v>835</v>
      </c>
      <c r="C288" s="6" t="s">
        <v>836</v>
      </c>
    </row>
    <row r="289" spans="1:3" ht="31.2" x14ac:dyDescent="0.3">
      <c r="A289" s="5" t="str">
        <f ca="1">IF(checks!$B$2&lt;checks!$B$1,OFFSET(A289,0,(IF(control!$H$2&gt;$B$1-1,IF(control!$H$2&lt;$C$1+1,control!$H$2,1),1))),"please obtain an update from www.vision3000.eu ")</f>
        <v>year until which primary-energy demand reaches final value</v>
      </c>
      <c r="B289" s="6" t="s">
        <v>821</v>
      </c>
      <c r="C289" s="6" t="s">
        <v>822</v>
      </c>
    </row>
    <row r="290" spans="1:3" x14ac:dyDescent="0.3">
      <c r="A290" s="5" t="str">
        <f ca="1">IF(checks!$B$2&lt;checks!$B$1,OFFSET(A290,0,(IF(control!$H$2&gt;$B$1-1,IF(control!$H$2&lt;$C$1+1,control!$H$2,1),1))),"please obtain an update from www.vision3000.eu ")</f>
        <v>sum DACCS and BECCS until 2100</v>
      </c>
      <c r="B290" s="6" t="s">
        <v>844</v>
      </c>
      <c r="C290" s="6" t="s">
        <v>841</v>
      </c>
    </row>
    <row r="291" spans="1:3" x14ac:dyDescent="0.3">
      <c r="A291" s="5" t="str">
        <f ca="1">IF(checks!$B$2&lt;checks!$B$1,OFFSET(A291,0,(IF(control!$H$2&gt;$B$1-1,IF(control!$H$2&lt;$C$1+1,control!$H$2,1),1))),"please obtain an update from www.vision3000.eu ")</f>
        <v>sum all land-use changes until 2100</v>
      </c>
      <c r="B291" s="6" t="s">
        <v>1202</v>
      </c>
      <c r="C291" s="6" t="s">
        <v>1203</v>
      </c>
    </row>
    <row r="292" spans="1:3" x14ac:dyDescent="0.3">
      <c r="A292" s="5" t="str">
        <f ca="1">IF(checks!$B$2&lt;checks!$B$1,OFFSET(A292,0,(IF(control!$H$2&gt;$B$1-1,IF(control!$H$2&lt;$C$1+1,control!$H$2,1),1))),"please obtain an update from www.vision3000.eu ")</f>
        <v xml:space="preserve">rest anthropogenic CO2 in environment 2100 </v>
      </c>
      <c r="B292" s="6" t="s">
        <v>1071</v>
      </c>
      <c r="C292" s="6" t="s">
        <v>1072</v>
      </c>
    </row>
    <row r="293" spans="1:3" x14ac:dyDescent="0.3">
      <c r="A293" s="5" t="str">
        <f ca="1">IF(checks!$B$2&lt;checks!$B$1,OFFSET(A293,0,(IF(control!$H$2&gt;$B$1-1,IF(control!$H$2&lt;$C$1+1,control!$H$2,1),1))),"please obtain an update from www.vision3000.eu ")</f>
        <v>fraction of CO2-based vs. bio-based economy</v>
      </c>
      <c r="B293" s="6" t="s">
        <v>862</v>
      </c>
      <c r="C293" s="6" t="s">
        <v>993</v>
      </c>
    </row>
    <row r="294" spans="1:3" x14ac:dyDescent="0.3">
      <c r="A294" s="5" t="str">
        <f ca="1">IF(checks!$B$2&lt;checks!$B$1,OFFSET(A294,0,(IF(control!$H$2&gt;$B$1-1,IF(control!$H$2&lt;$C$1+1,control!$H$2,1),1))),"please obtain an update from www.vision3000.eu ")</f>
        <v>% CO2-based</v>
      </c>
      <c r="B294" s="6" t="s">
        <v>861</v>
      </c>
      <c r="C294" s="6" t="s">
        <v>857</v>
      </c>
    </row>
    <row r="295" spans="1:3" x14ac:dyDescent="0.3">
      <c r="A295" s="5" t="str">
        <f ca="1">IF(checks!$B$2&lt;checks!$B$1,OFFSET(A295,0,(IF(control!$H$2&gt;$B$1-1,IF(control!$H$2&lt;$C$1+1,control!$H$2,1),1))),"please obtain an update from www.vision3000.eu ")</f>
        <v>CO2-based</v>
      </c>
      <c r="B295" s="6" t="s">
        <v>867</v>
      </c>
      <c r="C295" s="6" t="s">
        <v>868</v>
      </c>
    </row>
    <row r="296" spans="1:3" x14ac:dyDescent="0.3">
      <c r="A296" s="5" t="str">
        <f ca="1">IF(checks!$B$2&lt;checks!$B$1,OFFSET(A296,0,(IF(control!$H$2&gt;$B$1-1,IF(control!$H$2&lt;$C$1+1,control!$H$2,1),1))),"please obtain an update from www.vision3000.eu ")</f>
        <v>maximum contribution of BECCS to CO2 capture</v>
      </c>
      <c r="B296" s="6" t="s">
        <v>870</v>
      </c>
      <c r="C296" s="6" t="s">
        <v>871</v>
      </c>
    </row>
    <row r="297" spans="1:3" x14ac:dyDescent="0.3">
      <c r="A297" s="5" t="str">
        <f ca="1">IF(checks!$B$2&lt;checks!$B$1,OFFSET(A297,0,(IF(control!$H$2&gt;$B$1-1,IF(control!$H$2&lt;$C$1+1,control!$H$2,1),1))),"please obtain an update from www.vision3000.eu ")</f>
        <v>maximum contribution of DACCS to CO2 capture</v>
      </c>
      <c r="B297" s="6" t="s">
        <v>872</v>
      </c>
      <c r="C297" s="6" t="s">
        <v>873</v>
      </c>
    </row>
    <row r="298" spans="1:3" x14ac:dyDescent="0.3">
      <c r="A298" s="5" t="str">
        <f ca="1">IF(checks!$B$2&lt;checks!$B$1,OFFSET(A298,0,(IF(control!$H$2&gt;$B$1-1,IF(control!$H$2&lt;$C$1+1,control!$H$2,1),1))),"please obtain an update from www.vision3000.eu ")</f>
        <v>energy content of biomass dry matter as CH2</v>
      </c>
      <c r="B298" s="6" t="s">
        <v>874</v>
      </c>
      <c r="C298" s="6" t="s">
        <v>875</v>
      </c>
    </row>
    <row r="299" spans="1:3" ht="31.2" x14ac:dyDescent="0.3">
      <c r="A299" s="5" t="str">
        <f ca="1">IF(checks!$B$2&lt;checks!$B$1,OFFSET(A299,0,(IF(control!$H$2&gt;$B$1-1,IF(control!$H$2&lt;$C$1+1,control!$H$2,1),1))),"please obtain an update from www.vision3000.eu ")</f>
        <v>electricity required for producing methanol from CO2</v>
      </c>
      <c r="B299" s="6" t="s">
        <v>902</v>
      </c>
      <c r="C299" s="6" t="s">
        <v>901</v>
      </c>
    </row>
    <row r="300" spans="1:3" x14ac:dyDescent="0.3">
      <c r="A300" s="5" t="str">
        <f ca="1">IF(checks!$B$2&lt;checks!$B$1,OFFSET(A300,0,(IF(control!$H$2&gt;$B$1-1,IF(control!$H$2&lt;$C$1+1,control!$H$2,1),1))),"please obtain an update from www.vision3000.eu ")</f>
        <v>no DACCS</v>
      </c>
      <c r="B300" s="6" t="s">
        <v>925</v>
      </c>
      <c r="C300" s="6" t="s">
        <v>926</v>
      </c>
    </row>
    <row r="301" spans="1:3" ht="31.2" x14ac:dyDescent="0.3">
      <c r="A301" s="5" t="str">
        <f ca="1">IF(checks!$B$2&lt;checks!$B$1,OFFSET(A301,0,(IF(control!$H$2&gt;$B$1-1,IF(control!$H$2&lt;$C$1+1,control!$H$2,1),1))),"please obtain an update from www.vision3000.eu ")</f>
        <v>number of years for transition: BECCS, afforestation, nutrition, etc.</v>
      </c>
      <c r="B301" s="6" t="s">
        <v>929</v>
      </c>
      <c r="C301" s="6" t="s">
        <v>930</v>
      </c>
    </row>
    <row r="302" spans="1:3" x14ac:dyDescent="0.3">
      <c r="A302" s="5" t="str">
        <f ca="1">IF(checks!$B$2&lt;checks!$B$1,OFFSET(A302,0,(IF(control!$H$2&gt;$B$1-1,IF(control!$H$2&lt;$C$1+1,control!$H$2,1),1))),"please obtain an update from www.vision3000.eu ")</f>
        <v>maximum global warming reached</v>
      </c>
      <c r="B302" s="6" t="s">
        <v>953</v>
      </c>
      <c r="C302" s="6" t="s">
        <v>954</v>
      </c>
    </row>
    <row r="303" spans="1:3" ht="31.2" x14ac:dyDescent="0.3">
      <c r="A303" s="5" t="str">
        <f ca="1">IF(checks!$B$2&lt;checks!$B$1,OFFSET(A303,0,(IF(control!$H$2&gt;$B$1-1,IF(control!$H$2&lt;$C$1+1,control!$H$2,1),1))),"please obtain an update from www.vision3000.eu ")</f>
        <v>increase primary-energy consumption by CO2 economy</v>
      </c>
      <c r="B303" s="6" t="s">
        <v>964</v>
      </c>
      <c r="C303" s="6" t="s">
        <v>963</v>
      </c>
    </row>
    <row r="304" spans="1:3" ht="31.2" x14ac:dyDescent="0.3">
      <c r="A304" s="5" t="str">
        <f ca="1">IF(checks!$B$2&lt;checks!$B$1,OFFSET(A304,0,(IF(control!$H$2&gt;$B$1-1,IF(control!$H$2&lt;$C$1+1,control!$H$2,1),1))),"please obtain an update from www.vision3000.eu ")</f>
        <v>ref. to calculate substitution rate: 1 - with 27400 kWh/(cap a), 2 - chosen primary</v>
      </c>
      <c r="B304" s="6" t="s">
        <v>970</v>
      </c>
      <c r="C304" s="6" t="s">
        <v>971</v>
      </c>
    </row>
    <row r="305" spans="1:4" ht="409.6" x14ac:dyDescent="0.3">
      <c r="A305" s="5" t="str">
        <f ca="1">IF(checks!$B$2&lt;checks!$B$1,OFFSET(A305,0,(IF(control!$H$2&gt;$B$1-1,IF(control!$H$2&lt;$C$1+1,control!$H$2,1),1))),"please obtain an update from www.vision3000.eu ")</f>
        <v>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v>
      </c>
      <c r="B305" s="6" t="s">
        <v>1020</v>
      </c>
      <c r="C305" s="6" t="s">
        <v>1037</v>
      </c>
    </row>
    <row r="306" spans="1:4" ht="31.2" x14ac:dyDescent="0.3">
      <c r="A306" s="5" t="str">
        <f ca="1">IF(checks!$B$2&lt;checks!$B$1,OFFSET(A306,0,(IF(control!$H$2&gt;$B$1-1,IF(control!$H$2&lt;$C$1+1,control!$H$2,1),1))),"please obtain an update from www.vision3000.eu ")</f>
        <v>measures for reaching net emitted 1200 Gt CO2 end in</v>
      </c>
      <c r="B306" s="6" t="s">
        <v>1204</v>
      </c>
      <c r="C306" s="6" t="s">
        <v>1200</v>
      </c>
    </row>
    <row r="307" spans="1:4" x14ac:dyDescent="0.3">
      <c r="A307" s="5" t="str">
        <f ca="1">IF(checks!$B$2&lt;checks!$B$1,OFFSET(A307,0,(IF(control!$H$2&gt;$B$1-1,IF(control!$H$2&lt;$C$1+1,control!$H$2,1),1))),"please obtain an update from www.vision3000.eu ")</f>
        <v>years</v>
      </c>
      <c r="B307" s="6" t="s">
        <v>1045</v>
      </c>
      <c r="C307" s="6" t="s">
        <v>1179</v>
      </c>
    </row>
    <row r="308" spans="1:4" x14ac:dyDescent="0.3">
      <c r="A308" s="5" t="str">
        <f ca="1">IF(checks!$B$2&lt;checks!$B$1,OFFSET(A308,0,(IF(control!$H$2&gt;$B$1-1,IF(control!$H$2&lt;$C$1+1,control!$H$2,1),1))),"please obtain an update from www.vision3000.eu ")</f>
        <v>never</v>
      </c>
      <c r="B308" s="6" t="s">
        <v>1046</v>
      </c>
      <c r="C308" s="6" t="s">
        <v>1047</v>
      </c>
    </row>
    <row r="309" spans="1:4" ht="31.2" x14ac:dyDescent="0.3">
      <c r="A309" s="5" t="str">
        <f ca="1">IF(checks!$B$2&lt;checks!$B$1,OFFSET(A309,0,(IF(control!$H$2&gt;$B$1-1,IF(control!$H$2&lt;$C$1+1,control!$H$2,1),1))),"please obtain an update from www.vision3000.eu ")</f>
        <v>electricity costs for unstabilized electricity on 2050 cost level</v>
      </c>
      <c r="B309" s="6" t="s">
        <v>1291</v>
      </c>
      <c r="C309" s="6" t="s">
        <v>1292</v>
      </c>
    </row>
    <row r="310" spans="1:4" ht="31.2" x14ac:dyDescent="0.3">
      <c r="A310" s="5" t="str">
        <f ca="1">IF(checks!$B$2&lt;checks!$B$1,OFFSET(A310,0,(IF(control!$H$2&gt;$B$1-1,IF(control!$H$2&lt;$C$1+1,control!$H$2,1),1))),"please obtain an update from www.vision3000.eu ")</f>
        <v xml:space="preserve">additional costs for DACCS compared to biomass utilization </v>
      </c>
      <c r="B310" s="6" t="s">
        <v>1299</v>
      </c>
      <c r="C310" s="6" t="s">
        <v>1300</v>
      </c>
    </row>
    <row r="311" spans="1:4" ht="16.2" x14ac:dyDescent="0.35">
      <c r="A311" s="5" t="str">
        <f ca="1">IF(checks!$B$2&lt;checks!$B$1,OFFSET(A311,0,(IF(control!$H$2&gt;$B$1-1,IF(control!$H$2&lt;$C$1+1,control!$H$2,1),1))),"please obtain an update from www.vision3000.eu ")</f>
        <v>extra costs for CO2-economy</v>
      </c>
      <c r="B311" s="6" t="s">
        <v>1069</v>
      </c>
      <c r="C311" s="6" t="s">
        <v>1065</v>
      </c>
    </row>
    <row r="312" spans="1:4" x14ac:dyDescent="0.3">
      <c r="A312" s="5" t="str">
        <f ca="1">IF(checks!$B$2&lt;checks!$B$1,OFFSET(A312,0,(IF(control!$H$2&gt;$B$1-1,IF(control!$H$2&lt;$C$1+1,control!$H$2,1),1))),"please obtain an update from www.vision3000.eu ")</f>
        <v>trillion €/a</v>
      </c>
      <c r="B312" s="6" t="s">
        <v>1051</v>
      </c>
      <c r="C312" s="6" t="s">
        <v>1052</v>
      </c>
    </row>
    <row r="313" spans="1:4" x14ac:dyDescent="0.3">
      <c r="A313" s="5" t="str">
        <f ca="1">IF(checks!$B$2&lt;checks!$B$1,OFFSET(A313,0,(IF(control!$H$2&gt;$B$1-1,IF(control!$H$2&lt;$C$1+1,control!$H$2,1),1))),"please obtain an update from www.vision3000.eu ")</f>
        <v>DACC for fuels and materials</v>
      </c>
      <c r="B313" s="6" t="s">
        <v>1053</v>
      </c>
      <c r="C313" s="6" t="s">
        <v>1055</v>
      </c>
    </row>
    <row r="314" spans="1:4" x14ac:dyDescent="0.3">
      <c r="A314" s="5" t="str">
        <f ca="1">IF(checks!$B$2&lt;checks!$B$1,OFFSET(A314,0,(IF(control!$H$2&gt;$B$1-1,IF(control!$H$2&lt;$C$1+1,control!$H$2,1),1))),"please obtain an update from www.vision3000.eu ")</f>
        <v xml:space="preserve">hydrogen for fuels and materials           </v>
      </c>
      <c r="B314" s="6" t="s">
        <v>1057</v>
      </c>
      <c r="C314" s="6" t="s">
        <v>1056</v>
      </c>
    </row>
    <row r="315" spans="1:4" x14ac:dyDescent="0.3">
      <c r="A315" s="5" t="str">
        <f ca="1">IF(checks!$B$2&lt;checks!$B$1,OFFSET(A315,0,(IF(control!$H$2&gt;$B$1-1,IF(control!$H$2&lt;$C$1+1,control!$H$2,1),1))),"please obtain an update from www.vision3000.eu ")</f>
        <v>DACCS</v>
      </c>
      <c r="B315" s="6" t="s">
        <v>1054</v>
      </c>
      <c r="C315" s="6" t="s">
        <v>1054</v>
      </c>
    </row>
    <row r="316" spans="1:4" x14ac:dyDescent="0.3">
      <c r="A316" s="5" t="str">
        <f ca="1">IF(checks!$B$2&lt;checks!$B$1,OFFSET(A316,0,(IF(control!$H$2&gt;$B$1-1,IF(control!$H$2&lt;$C$1+1,control!$H$2,1),1))),"please obtain an update from www.vision3000.eu ")</f>
        <v>% / year</v>
      </c>
      <c r="B316" s="6" t="s">
        <v>1059</v>
      </c>
      <c r="C316" s="6" t="s">
        <v>1060</v>
      </c>
    </row>
    <row r="317" spans="1:4" x14ac:dyDescent="0.3">
      <c r="A317" s="5" t="str">
        <f ca="1">IF(checks!$B$2&lt;checks!$B$1,OFFSET(A317,0,(IF(control!$H$2&gt;$B$1-1,IF(control!$H$2&lt;$C$1+1,control!$H$2,1),1))),"please obtain an update from www.vision3000.eu ")</f>
        <v>kWh per capita &amp; year</v>
      </c>
      <c r="B317" s="6" t="s">
        <v>1063</v>
      </c>
      <c r="C317" s="6" t="s">
        <v>1062</v>
      </c>
    </row>
    <row r="318" spans="1:4" x14ac:dyDescent="0.3">
      <c r="A318" s="5" t="str">
        <f ca="1">IF(checks!$B$2&lt;checks!$B$1,OFFSET(A318,0,(IF(control!$H$2&gt;$B$1-1,IF(control!$H$2&lt;$C$1+1,control!$H$2,1),1))),"please obtain an update from www.vision3000.eu ")</f>
        <v>no CO2-economy established</v>
      </c>
      <c r="B318" s="6" t="s">
        <v>1067</v>
      </c>
      <c r="C318" s="6" t="s">
        <v>1068</v>
      </c>
      <c r="D318" s="313" t="str">
        <f ca="1">IF(control!E10=0,texts!A318,"")</f>
        <v>no CO2-economy established</v>
      </c>
    </row>
    <row r="319" spans="1:4" x14ac:dyDescent="0.3">
      <c r="A319" s="5" t="str">
        <f ca="1">IF(checks!$B$2&lt;checks!$B$1,OFFSET(A319,0,(IF(control!$H$2&gt;$B$1-1,IF(control!$H$2&lt;$C$1+1,control!$H$2,1),1))),"please obtain an update from www.vision3000.eu ")</f>
        <v>organic carbon in forests calculated as CO2</v>
      </c>
      <c r="B319" s="22" t="s">
        <v>1132</v>
      </c>
      <c r="C319" s="6" t="s">
        <v>1136</v>
      </c>
    </row>
    <row r="320" spans="1:4" ht="31.2" x14ac:dyDescent="0.3">
      <c r="A320" s="5" t="str">
        <f ca="1">IF(checks!$B$2&lt;checks!$B$1,OFFSET(A320,0,(IF(control!$H$2&gt;$B$1-1,IF(control!$H$2&lt;$C$1+1,control!$H$2,1),1))),"please obtain an update from www.vision3000.eu ")</f>
        <v>organic carbon in savanna, grassland, shrubland calculated as CO2</v>
      </c>
      <c r="B320" s="22" t="s">
        <v>1133</v>
      </c>
      <c r="C320" s="6" t="s">
        <v>1137</v>
      </c>
    </row>
    <row r="321" spans="1:3" x14ac:dyDescent="0.3">
      <c r="A321" s="5" t="str">
        <f ca="1">IF(checks!$B$2&lt;checks!$B$1,OFFSET(A321,0,(IF(control!$H$2&gt;$B$1-1,IF(control!$H$2&lt;$C$1+1,control!$H$2,1),1))),"please obtain an update from www.vision3000.eu ")</f>
        <v>organic carbon in croplands calculated as CO2</v>
      </c>
      <c r="B321" s="22" t="s">
        <v>1134</v>
      </c>
      <c r="C321" s="6" t="s">
        <v>1138</v>
      </c>
    </row>
    <row r="322" spans="1:3" x14ac:dyDescent="0.3">
      <c r="A322" s="5" t="str">
        <f ca="1">IF(checks!$B$2&lt;checks!$B$1,OFFSET(A322,0,(IF(control!$H$2&gt;$B$1-1,IF(control!$H$2&lt;$C$1+1,control!$H$2,1),1))),"please obtain an update from www.vision3000.eu ")</f>
        <v>organic carbon in wetlands, calcuilated as CO2</v>
      </c>
      <c r="B322" s="22" t="s">
        <v>1135</v>
      </c>
      <c r="C322" s="6" t="s">
        <v>1139</v>
      </c>
    </row>
    <row r="323" spans="1:3" ht="31.2" x14ac:dyDescent="0.3">
      <c r="A323" s="5" t="str">
        <f ca="1">IF(checks!$B$2&lt;checks!$B$1,OFFSET(A323,0,(IF(control!$H$2&gt;$B$1-1,IF(control!$H$2&lt;$C$1+1,control!$H$2,1),1))),"please obtain an update from www.vision3000.eu ")</f>
        <v>organic carbon additionally in organic farmin as CO2</v>
      </c>
      <c r="B323" s="6" t="s">
        <v>1142</v>
      </c>
      <c r="C323" s="6" t="s">
        <v>1193</v>
      </c>
    </row>
    <row r="324" spans="1:3" x14ac:dyDescent="0.3">
      <c r="A324" s="5" t="str">
        <f ca="1">IF(checks!$B$2&lt;checks!$B$1,OFFSET(A324,0,(IF(control!$H$2&gt;$B$1-1,IF(control!$H$2&lt;$C$1+1,control!$H$2,1),1))),"please obtain an update from www.vision3000.eu ")</f>
        <v>fraction of wetland of land for bio-diversity</v>
      </c>
      <c r="B324" s="6" t="s">
        <v>1145</v>
      </c>
      <c r="C324" s="6" t="s">
        <v>1148</v>
      </c>
    </row>
    <row r="325" spans="1:3" x14ac:dyDescent="0.3">
      <c r="A325" s="5" t="str">
        <f ca="1">IF(checks!$B$2&lt;checks!$B$1,OFFSET(A325,0,(IF(control!$H$2&gt;$B$1-1,IF(control!$H$2&lt;$C$1+1,control!$H$2,1),1))),"please obtain an update from www.vision3000.eu ")</f>
        <v>maximum land are for wetlands</v>
      </c>
      <c r="B325" s="6" t="s">
        <v>1147</v>
      </c>
      <c r="C325" s="6" t="s">
        <v>1149</v>
      </c>
    </row>
    <row r="326" spans="1:3" ht="31.2" x14ac:dyDescent="0.3">
      <c r="A326" s="5" t="str">
        <f ca="1">IF(checks!$B$2&lt;checks!$B$1,OFFSET(A326,0,(IF(control!$H$2&gt;$B$1-1,IF(control!$H$2&lt;$C$1+1,control!$H$2,1),1))),"please obtain an update from www.vision3000.eu ")</f>
        <v>average timescale of uptake of C by grassland &amp; cropland and release by all land</v>
      </c>
      <c r="B326" s="6" t="s">
        <v>1219</v>
      </c>
      <c r="C326" s="6" t="s">
        <v>1220</v>
      </c>
    </row>
    <row r="327" spans="1:3" x14ac:dyDescent="0.3">
      <c r="A327" s="5" t="str">
        <f ca="1">IF(checks!$B$2&lt;checks!$B$1,OFFSET(A327,0,(IF(control!$H$2&gt;$B$1-1,IF(control!$H$2&lt;$C$1+1,control!$H$2,1),1))),"please obtain an update from www.vision3000.eu ")</f>
        <v>costs</v>
      </c>
      <c r="B327" s="6" t="s">
        <v>1180</v>
      </c>
      <c r="C327" s="6" t="s">
        <v>824</v>
      </c>
    </row>
    <row r="328" spans="1:3" x14ac:dyDescent="0.3">
      <c r="A328" s="5" t="str">
        <f ca="1">IF(checks!$B$2&lt;checks!$B$1,OFFSET(A328,0,(IF(control!$H$2&gt;$B$1-1,IF(control!$H$2&lt;$C$1+1,control!$H$2,1),1))),"please obtain an update from www.vision3000.eu ")</f>
        <v>test saving ernergy in OECD countries</v>
      </c>
      <c r="B328" s="6" t="s">
        <v>1181</v>
      </c>
      <c r="C328" s="6" t="s">
        <v>1182</v>
      </c>
    </row>
    <row r="329" spans="1:3" ht="31.2" x14ac:dyDescent="0.3">
      <c r="A329" s="5" t="str">
        <f ca="1">IF(checks!$B$2&lt;checks!$B$1,OFFSET(A329,0,(IF(control!$H$2&gt;$B$1-1,IF(control!$H$2&lt;$C$1+1,control!$H$2,1),1))),"please obtain an update from www.vision3000.eu ")</f>
        <v>per-capita enery demand in OECD countires with instantaneozus saving in 2021</v>
      </c>
      <c r="B329" s="184" t="s">
        <v>1187</v>
      </c>
      <c r="C329" s="6" t="s">
        <v>1188</v>
      </c>
    </row>
    <row r="330" spans="1:3" x14ac:dyDescent="0.3">
      <c r="A330" s="5" t="str">
        <f ca="1">IF(checks!$B$2&lt;checks!$B$1,OFFSET(A330,0,(IF(control!$H$2&gt;$B$1-1,IF(control!$H$2&lt;$C$1+1,control!$H$2,1),1))),"please obtain an update from www.vision3000.eu ")</f>
        <v>global per-capita energy demand with saving 2021</v>
      </c>
      <c r="B330" s="184" t="s">
        <v>1236</v>
      </c>
      <c r="C330" s="6" t="s">
        <v>1183</v>
      </c>
    </row>
    <row r="331" spans="1:3" x14ac:dyDescent="0.3">
      <c r="A331" s="5" t="str">
        <f ca="1">IF(checks!$B$2&lt;checks!$B$1,OFFSET(A331,0,(IF(control!$H$2&gt;$B$1-1,IF(control!$H$2&lt;$C$1+1,control!$H$2,1),1))),"please obtain an update from www.vision3000.eu ")</f>
        <v>no saving</v>
      </c>
      <c r="B331" s="6" t="s">
        <v>1189</v>
      </c>
      <c r="C331" s="6" t="s">
        <v>1190</v>
      </c>
    </row>
    <row r="332" spans="1:3" ht="31.2" x14ac:dyDescent="0.3">
      <c r="A332" s="5" t="str">
        <f ca="1">IF(checks!$B$2&lt;checks!$B$1,OFFSET(A332,0,(IF(control!$H$2&gt;$B$1-1,IF(control!$H$2&lt;$C$1+1,control!$H$2,1),1))),"please obtain an update from www.vision3000.eu ")</f>
        <v>caution: the scenario is beyond validity range of this scenario explorer</v>
      </c>
      <c r="B332" s="6" t="s">
        <v>1192</v>
      </c>
      <c r="C332" s="6" t="s">
        <v>1191</v>
      </c>
    </row>
    <row r="333" spans="1:3" x14ac:dyDescent="0.3">
      <c r="A333" s="5" t="str">
        <f>IF(data!$BR$5&lt;1990,A332,"")</f>
        <v/>
      </c>
      <c r="B333" s="6" t="s">
        <v>1225</v>
      </c>
    </row>
    <row r="334" spans="1:3" x14ac:dyDescent="0.3">
      <c r="A334" s="5" t="str">
        <f ca="1">IF(checks!$B$2&lt;checks!$B$1,OFFSET(A334,0,(IF(control!$H$2&gt;$B$1-1,IF(control!$H$2&lt;$C$1+1,control!$H$2,1),1))),"please obtain an update from www.vision3000.eu ")</f>
        <v>average timescale of uptake of carbon by forests</v>
      </c>
      <c r="B334" s="6" t="s">
        <v>1221</v>
      </c>
      <c r="C334" s="6" t="s">
        <v>1222</v>
      </c>
    </row>
    <row r="335" spans="1:3" x14ac:dyDescent="0.3">
      <c r="A335" s="5" t="str">
        <f ca="1">IF(checks!$B$2&lt;checks!$B$1,OFFSET(A335,0,(IF(control!$H$2&gt;$B$1-1,IF(control!$H$2&lt;$C$1+1,control!$H$2,1),1))),"please obtain an update from www.vision3000.eu ")</f>
        <v>average timescale of uptake of carbon by wetlands</v>
      </c>
      <c r="B335" s="6" t="s">
        <v>1223</v>
      </c>
      <c r="C335" s="6" t="s">
        <v>1224</v>
      </c>
    </row>
  </sheetData>
  <customSheetViews>
    <customSheetView guid="{19166E14-FA2C-4A8E-94B4-58FB50E3C2AB}" scale="80" topLeftCell="A157">
      <selection activeCell="C167" sqref="C167"/>
      <pageMargins left="0.7" right="0.7" top="0.78740157499999996" bottom="0.78740157499999996" header="0.3" footer="0.3"/>
      <pageSetup paperSize="9" orientation="portrait" r:id="rId1"/>
    </customSheetView>
    <customSheetView guid="{A04E2617-7092-4ACA-9C80-BFC49C4921F8}" scale="80" topLeftCell="A157">
      <selection activeCell="C167" sqref="C167"/>
      <pageMargins left="0.7" right="0.7" top="0.78740157499999996" bottom="0.78740157499999996" header="0.3" footer="0.3"/>
      <pageSetup paperSize="9" orientation="portrait" r:id="rId2"/>
    </customSheetView>
  </customSheetViews>
  <pageMargins left="0.7" right="0.7" top="0.78740157499999996" bottom="0.78740157499999996" header="0.3" footer="0.3"/>
  <pageSetup paperSize="9" orientation="portrait"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F295"/>
  <sheetViews>
    <sheetView topLeftCell="A38" zoomScale="90" zoomScaleNormal="90" workbookViewId="0">
      <selection activeCell="A50" sqref="A50"/>
    </sheetView>
  </sheetViews>
  <sheetFormatPr defaultColWidth="11.5546875" defaultRowHeight="14.4" x14ac:dyDescent="0.3"/>
  <cols>
    <col min="1" max="1" width="31.21875" style="7" customWidth="1"/>
    <col min="2" max="2" width="12" style="7" bestFit="1" customWidth="1"/>
    <col min="3" max="3" width="11.5546875" style="7" customWidth="1"/>
    <col min="4" max="13" width="11.5546875" style="7"/>
    <col min="14" max="14" width="14.21875" style="7" customWidth="1"/>
    <col min="15" max="15" width="11.5546875" style="7"/>
    <col min="16" max="16" width="27.77734375" style="7" customWidth="1"/>
    <col min="17" max="23" width="11.5546875" style="7"/>
    <col min="24" max="24" width="15.44140625" style="7" customWidth="1"/>
    <col min="25" max="25" width="11.5546875" style="7"/>
    <col min="26" max="26" width="12" style="7" bestFit="1" customWidth="1"/>
    <col min="27" max="44" width="11.5546875" style="7"/>
    <col min="45" max="45" width="12" style="7" bestFit="1" customWidth="1"/>
    <col min="46" max="16384" width="11.5546875" style="7"/>
  </cols>
  <sheetData>
    <row r="1" spans="1:8" ht="21" x14ac:dyDescent="0.4">
      <c r="A1" s="16" t="s">
        <v>443</v>
      </c>
    </row>
    <row r="2" spans="1:8" x14ac:dyDescent="0.3">
      <c r="A2" s="7" t="s">
        <v>1073</v>
      </c>
    </row>
    <row r="3" spans="1:8" x14ac:dyDescent="0.3">
      <c r="B3" s="7" t="s">
        <v>444</v>
      </c>
      <c r="E3" s="7" t="s">
        <v>445</v>
      </c>
    </row>
    <row r="4" spans="1:8" x14ac:dyDescent="0.3">
      <c r="A4" s="7" t="s">
        <v>446</v>
      </c>
      <c r="B4" s="7" t="s">
        <v>447</v>
      </c>
      <c r="C4" s="17">
        <v>1.4401374023437501</v>
      </c>
      <c r="D4" s="7" t="s">
        <v>448</v>
      </c>
      <c r="E4" s="7" t="s">
        <v>187</v>
      </c>
      <c r="F4" s="17">
        <v>2.6174631119560394</v>
      </c>
      <c r="G4" s="7" t="s">
        <v>448</v>
      </c>
    </row>
    <row r="5" spans="1:8" x14ac:dyDescent="0.3">
      <c r="A5" s="7" t="s">
        <v>449</v>
      </c>
      <c r="B5" s="7" t="s">
        <v>447</v>
      </c>
      <c r="C5" s="17">
        <v>0.9353014460551734</v>
      </c>
      <c r="D5" s="7" t="s">
        <v>448</v>
      </c>
      <c r="E5" s="7" t="s">
        <v>183</v>
      </c>
      <c r="F5" s="17">
        <v>2.3014636911684061</v>
      </c>
      <c r="G5" s="7" t="s">
        <v>448</v>
      </c>
    </row>
    <row r="6" spans="1:8" x14ac:dyDescent="0.3">
      <c r="A6" s="7" t="s">
        <v>450</v>
      </c>
      <c r="B6" s="7" t="s">
        <v>447</v>
      </c>
      <c r="C6" s="17">
        <v>4.3232954881105679</v>
      </c>
      <c r="D6" s="7" t="s">
        <v>448</v>
      </c>
      <c r="E6" s="7" t="s">
        <v>451</v>
      </c>
      <c r="F6" s="17">
        <v>4.6092462129676406</v>
      </c>
      <c r="G6" s="7" t="s">
        <v>448</v>
      </c>
      <c r="H6" s="7" t="s">
        <v>452</v>
      </c>
    </row>
    <row r="7" spans="1:8" x14ac:dyDescent="0.3">
      <c r="A7" s="7" t="s">
        <v>453</v>
      </c>
      <c r="B7" s="7" t="s">
        <v>447</v>
      </c>
      <c r="C7" s="17">
        <v>4.3218735729518203</v>
      </c>
      <c r="D7" s="7" t="s">
        <v>448</v>
      </c>
      <c r="E7" s="7" t="s">
        <v>454</v>
      </c>
      <c r="F7" s="17">
        <v>6.4893228996281085</v>
      </c>
      <c r="G7" s="7" t="s">
        <v>448</v>
      </c>
      <c r="H7" s="7" t="s">
        <v>455</v>
      </c>
    </row>
    <row r="8" spans="1:8" x14ac:dyDescent="0.3">
      <c r="A8" s="7" t="s">
        <v>456</v>
      </c>
      <c r="B8" s="7" t="s">
        <v>447</v>
      </c>
      <c r="C8" s="17">
        <v>1.0358754305555553</v>
      </c>
      <c r="D8" s="7" t="s">
        <v>448</v>
      </c>
      <c r="E8" s="7" t="s">
        <v>183</v>
      </c>
      <c r="F8" s="17">
        <v>2.0352912638888885</v>
      </c>
      <c r="G8" s="7" t="s">
        <v>448</v>
      </c>
    </row>
    <row r="9" spans="1:8" x14ac:dyDescent="0.3">
      <c r="A9" s="7" t="s">
        <v>457</v>
      </c>
      <c r="B9" s="7" t="s">
        <v>447</v>
      </c>
      <c r="C9" s="17">
        <v>0.87223461111111122</v>
      </c>
      <c r="D9" s="7" t="s">
        <v>448</v>
      </c>
      <c r="E9" s="7" t="s">
        <v>182</v>
      </c>
      <c r="F9" s="17">
        <v>1.3025344444444447</v>
      </c>
      <c r="G9" s="7" t="s">
        <v>448</v>
      </c>
      <c r="H9" s="7" t="s">
        <v>458</v>
      </c>
    </row>
    <row r="10" spans="1:8" x14ac:dyDescent="0.3">
      <c r="A10" s="7" t="s">
        <v>459</v>
      </c>
      <c r="B10" s="7" t="s">
        <v>447</v>
      </c>
      <c r="C10" s="17">
        <v>3.6643442291666668</v>
      </c>
      <c r="D10" s="7" t="s">
        <v>448</v>
      </c>
      <c r="E10" s="7" t="s">
        <v>460</v>
      </c>
      <c r="F10" s="17">
        <v>4.6798239444444452</v>
      </c>
      <c r="G10" s="7" t="s">
        <v>448</v>
      </c>
      <c r="H10" s="7" t="s">
        <v>452</v>
      </c>
    </row>
    <row r="11" spans="1:8" x14ac:dyDescent="0.3">
      <c r="A11" s="7" t="s">
        <v>461</v>
      </c>
    </row>
    <row r="12" spans="1:8" x14ac:dyDescent="0.3">
      <c r="A12" s="18" t="s">
        <v>462</v>
      </c>
      <c r="B12" s="18"/>
      <c r="C12" s="19">
        <v>2</v>
      </c>
      <c r="D12" s="18" t="s">
        <v>448</v>
      </c>
    </row>
    <row r="13" spans="1:8" x14ac:dyDescent="0.3">
      <c r="A13" s="7" t="s">
        <v>463</v>
      </c>
    </row>
    <row r="14" spans="1:8" x14ac:dyDescent="0.3">
      <c r="A14" s="7" t="s">
        <v>1241</v>
      </c>
    </row>
    <row r="15" spans="1:8" x14ac:dyDescent="0.3">
      <c r="A15" s="7" t="s">
        <v>464</v>
      </c>
    </row>
    <row r="16" spans="1:8" x14ac:dyDescent="0.3">
      <c r="A16" s="7" t="s">
        <v>465</v>
      </c>
    </row>
    <row r="17" spans="1:23" x14ac:dyDescent="0.3">
      <c r="A17" s="7" t="s">
        <v>1074</v>
      </c>
    </row>
    <row r="18" spans="1:23" x14ac:dyDescent="0.3">
      <c r="A18" s="2" t="s">
        <v>801</v>
      </c>
    </row>
    <row r="19" spans="1:23" x14ac:dyDescent="0.3">
      <c r="A19" s="2"/>
    </row>
    <row r="20" spans="1:23" ht="21" x14ac:dyDescent="0.4">
      <c r="A20" s="16" t="s">
        <v>466</v>
      </c>
    </row>
    <row r="21" spans="1:23" x14ac:dyDescent="0.3">
      <c r="A21" s="7" t="s">
        <v>467</v>
      </c>
    </row>
    <row r="22" spans="1:23" x14ac:dyDescent="0.3">
      <c r="B22" s="7" t="s">
        <v>444</v>
      </c>
      <c r="H22" s="2" t="s">
        <v>468</v>
      </c>
    </row>
    <row r="23" spans="1:23" x14ac:dyDescent="0.3">
      <c r="B23" s="7" t="s">
        <v>469</v>
      </c>
      <c r="D23" s="7" t="s">
        <v>470</v>
      </c>
      <c r="F23" s="7" t="s">
        <v>869</v>
      </c>
      <c r="H23" s="7" t="s">
        <v>471</v>
      </c>
      <c r="L23" s="7" t="s">
        <v>472</v>
      </c>
      <c r="N23" s="7" t="s">
        <v>473</v>
      </c>
      <c r="O23" s="7" t="s">
        <v>474</v>
      </c>
      <c r="Q23" s="7" t="s">
        <v>475</v>
      </c>
      <c r="S23" s="7" t="s">
        <v>476</v>
      </c>
    </row>
    <row r="24" spans="1:23" x14ac:dyDescent="0.3">
      <c r="A24" s="7" t="s">
        <v>446</v>
      </c>
      <c r="B24" s="7">
        <v>5.4611000000000001</v>
      </c>
      <c r="C24" s="7" t="s">
        <v>477</v>
      </c>
      <c r="D24" s="7">
        <v>0.625</v>
      </c>
      <c r="E24" s="7" t="s">
        <v>478</v>
      </c>
      <c r="F24" s="7">
        <f>D24*B24</f>
        <v>3.4131875000000003</v>
      </c>
      <c r="G24" s="7" t="s">
        <v>477</v>
      </c>
      <c r="H24">
        <v>15.88</v>
      </c>
      <c r="I24" s="7" t="s">
        <v>479</v>
      </c>
      <c r="J24" s="20">
        <f>H24*1000/3600</f>
        <v>4.4111111111111114</v>
      </c>
      <c r="K24" t="s">
        <v>480</v>
      </c>
      <c r="L24" s="7">
        <f>J24*F24*1000</f>
        <v>15055.949305555558</v>
      </c>
      <c r="M24" s="7" t="s">
        <v>481</v>
      </c>
      <c r="N24" s="7" t="s">
        <v>482</v>
      </c>
      <c r="O24" s="7">
        <v>162.14060000000001</v>
      </c>
      <c r="P24" s="7" t="s">
        <v>483</v>
      </c>
      <c r="Q24">
        <f>6*12.0107</f>
        <v>72.0642</v>
      </c>
      <c r="R24" s="7" t="s">
        <v>483</v>
      </c>
      <c r="S24" s="7">
        <f>F24*$O$30*Q24*$O$31/($Q$31*O24*($O$30+$O$32))</f>
        <v>0.9060689520516837</v>
      </c>
      <c r="T24" s="7" t="s">
        <v>477</v>
      </c>
    </row>
    <row r="25" spans="1:23" x14ac:dyDescent="0.3">
      <c r="A25" s="7" t="s">
        <v>484</v>
      </c>
      <c r="B25" s="20">
        <v>4.2908642857142798</v>
      </c>
      <c r="C25" s="7" t="s">
        <v>477</v>
      </c>
      <c r="D25" s="7">
        <v>0.64</v>
      </c>
      <c r="E25" s="7" t="s">
        <v>485</v>
      </c>
      <c r="F25" s="7">
        <f>D25*B25</f>
        <v>2.7461531428571391</v>
      </c>
      <c r="G25" s="7" t="s">
        <v>477</v>
      </c>
      <c r="H25">
        <v>15.83</v>
      </c>
      <c r="I25" s="7" t="s">
        <v>479</v>
      </c>
      <c r="J25" s="20">
        <f t="shared" ref="J25:J30" si="0">H25*1000/3600</f>
        <v>4.3972222222222221</v>
      </c>
      <c r="K25" t="s">
        <v>480</v>
      </c>
      <c r="L25" s="7">
        <f>J25*F25*1000</f>
        <v>12075.445625396809</v>
      </c>
      <c r="M25" s="7" t="s">
        <v>481</v>
      </c>
      <c r="N25" s="7" t="s">
        <v>482</v>
      </c>
      <c r="O25" s="7">
        <v>163.14060000000001</v>
      </c>
      <c r="P25" s="7" t="s">
        <v>483</v>
      </c>
      <c r="Q25">
        <f>6*12.0107</f>
        <v>72.0642</v>
      </c>
      <c r="R25" s="7" t="s">
        <v>483</v>
      </c>
      <c r="S25" s="7">
        <f>F25*$O$30*Q25*$O$31/($Q$31*O25*($O$30+$O$32))</f>
        <v>0.72452867017270361</v>
      </c>
      <c r="T25" s="7" t="s">
        <v>477</v>
      </c>
    </row>
    <row r="26" spans="1:23" x14ac:dyDescent="0.3">
      <c r="A26" s="7" t="s">
        <v>486</v>
      </c>
      <c r="B26" s="20">
        <f>B24+B25</f>
        <v>9.7519642857142799</v>
      </c>
      <c r="C26" s="7" t="s">
        <v>477</v>
      </c>
      <c r="D26" s="7">
        <v>0.8</v>
      </c>
      <c r="E26" s="7" t="s">
        <v>487</v>
      </c>
      <c r="F26" s="7">
        <f>D26*B26</f>
        <v>7.8015714285714246</v>
      </c>
      <c r="G26" s="7" t="s">
        <v>477</v>
      </c>
      <c r="H26">
        <f>AVERAGE(H24:H25)</f>
        <v>15.855</v>
      </c>
      <c r="I26" s="7" t="s">
        <v>479</v>
      </c>
      <c r="J26" s="20">
        <f t="shared" si="0"/>
        <v>4.4041666666666668</v>
      </c>
      <c r="K26" t="s">
        <v>480</v>
      </c>
      <c r="L26" s="7">
        <f>J26*F26*1000</f>
        <v>34359.420833333315</v>
      </c>
      <c r="M26" s="7" t="s">
        <v>481</v>
      </c>
      <c r="N26" s="7" t="str">
        <f>N25</f>
        <v>C6H10O5</v>
      </c>
      <c r="O26" s="7">
        <v>163.14060000000001</v>
      </c>
      <c r="P26" s="7" t="s">
        <v>483</v>
      </c>
      <c r="Q26">
        <f>6*12.0107</f>
        <v>72.0642</v>
      </c>
      <c r="R26" s="7" t="s">
        <v>483</v>
      </c>
      <c r="S26" s="18">
        <f>F26*$O$30*Q26*$O$31/($Q$31*O26*($O$30+$O$32))</f>
        <v>2.0583200857179098</v>
      </c>
      <c r="T26" s="18" t="s">
        <v>477</v>
      </c>
    </row>
    <row r="27" spans="1:23" x14ac:dyDescent="0.3">
      <c r="A27" s="7" t="s">
        <v>450</v>
      </c>
      <c r="B27" s="7">
        <v>70.6648</v>
      </c>
      <c r="C27" s="7" t="s">
        <v>477</v>
      </c>
      <c r="D27" s="7">
        <v>0.14499999999999999</v>
      </c>
      <c r="E27" s="7" t="s">
        <v>488</v>
      </c>
      <c r="F27" s="7">
        <f>D27*B27</f>
        <v>10.246395999999999</v>
      </c>
      <c r="G27" s="7" t="s">
        <v>477</v>
      </c>
      <c r="H27">
        <v>15</v>
      </c>
      <c r="I27" s="7" t="s">
        <v>479</v>
      </c>
      <c r="J27" s="20">
        <f t="shared" si="0"/>
        <v>4.166666666666667</v>
      </c>
      <c r="K27" t="s">
        <v>480</v>
      </c>
      <c r="L27" s="7">
        <f>J27*F27*1000</f>
        <v>42693.316666666666</v>
      </c>
      <c r="M27" s="7" t="s">
        <v>481</v>
      </c>
      <c r="N27" t="s">
        <v>489</v>
      </c>
      <c r="O27">
        <v>342.3</v>
      </c>
      <c r="P27" s="7" t="s">
        <v>483</v>
      </c>
      <c r="Q27">
        <f>12*12.0107</f>
        <v>144.1284</v>
      </c>
      <c r="R27" s="7" t="s">
        <v>483</v>
      </c>
      <c r="S27" s="18">
        <f>F27*$O$30*Q27*$O$31/($Q$31*O27*($O$30+$O$32))</f>
        <v>2.5768379689319598</v>
      </c>
      <c r="T27" s="18" t="s">
        <v>477</v>
      </c>
    </row>
    <row r="28" spans="1:23" x14ac:dyDescent="0.3">
      <c r="A28" s="7" t="s">
        <v>453</v>
      </c>
      <c r="B28" s="7">
        <v>56.905700000000003</v>
      </c>
      <c r="C28" s="7" t="s">
        <v>477</v>
      </c>
      <c r="D28" s="7">
        <v>0.18</v>
      </c>
      <c r="E28" s="7" t="s">
        <v>488</v>
      </c>
      <c r="F28" s="7">
        <f>D28*B28</f>
        <v>10.243026</v>
      </c>
      <c r="G28" s="7" t="s">
        <v>477</v>
      </c>
      <c r="H28">
        <v>15</v>
      </c>
      <c r="I28" s="7" t="s">
        <v>479</v>
      </c>
      <c r="J28" s="20">
        <f t="shared" si="0"/>
        <v>4.166666666666667</v>
      </c>
      <c r="K28" t="s">
        <v>480</v>
      </c>
      <c r="L28" s="7">
        <f>J28*F28*1000</f>
        <v>42679.275000000001</v>
      </c>
      <c r="M28" s="7" t="s">
        <v>481</v>
      </c>
      <c r="N28" t="s">
        <v>489</v>
      </c>
      <c r="O28">
        <v>342.3</v>
      </c>
      <c r="P28" s="7" t="s">
        <v>483</v>
      </c>
      <c r="Q28">
        <f>12*12.0107</f>
        <v>144.1284</v>
      </c>
      <c r="R28" s="7" t="s">
        <v>483</v>
      </c>
      <c r="S28" s="18">
        <f>F28*$O$30*Q28*$O$31/($Q$31*O28*($O$30+$O$32))</f>
        <v>2.5759904568940395</v>
      </c>
      <c r="T28" s="18" t="s">
        <v>477</v>
      </c>
    </row>
    <row r="29" spans="1:23" x14ac:dyDescent="0.3">
      <c r="E29" s="7" t="s">
        <v>490</v>
      </c>
      <c r="H29">
        <v>19.96</v>
      </c>
      <c r="I29" s="7" t="s">
        <v>479</v>
      </c>
      <c r="J29" s="20">
        <f t="shared" si="0"/>
        <v>5.5444444444444443</v>
      </c>
      <c r="K29" t="s">
        <v>480</v>
      </c>
      <c r="N29" t="s">
        <v>491</v>
      </c>
      <c r="O29" s="7">
        <v>32.04</v>
      </c>
      <c r="P29" s="7" t="s">
        <v>483</v>
      </c>
      <c r="Q29">
        <f>12.0107</f>
        <v>12.0107</v>
      </c>
      <c r="R29" s="7" t="s">
        <v>483</v>
      </c>
      <c r="S29" s="18" t="s">
        <v>492</v>
      </c>
      <c r="T29" s="18"/>
      <c r="U29" s="18"/>
      <c r="V29" s="18"/>
      <c r="W29" s="18"/>
    </row>
    <row r="30" spans="1:23" x14ac:dyDescent="0.3">
      <c r="E30" s="7" t="s">
        <v>493</v>
      </c>
      <c r="H30" s="21">
        <v>28.09</v>
      </c>
      <c r="I30" s="7" t="s">
        <v>479</v>
      </c>
      <c r="J30" s="20">
        <f t="shared" si="0"/>
        <v>7.802777777777778</v>
      </c>
      <c r="K30" t="s">
        <v>480</v>
      </c>
      <c r="N30" s="7" t="s">
        <v>494</v>
      </c>
      <c r="O30" s="7">
        <v>46.07</v>
      </c>
      <c r="P30" s="7" t="s">
        <v>483</v>
      </c>
      <c r="Q30">
        <f>2*12.0107</f>
        <v>24.0214</v>
      </c>
      <c r="R30" s="7" t="s">
        <v>483</v>
      </c>
      <c r="S30" s="18" t="s">
        <v>495</v>
      </c>
      <c r="T30" s="18"/>
      <c r="U30" s="18"/>
      <c r="V30" s="18"/>
      <c r="W30" s="18"/>
    </row>
    <row r="31" spans="1:23" x14ac:dyDescent="0.3">
      <c r="E31" s="7" t="s">
        <v>137</v>
      </c>
      <c r="H31" s="21">
        <v>44</v>
      </c>
      <c r="I31" s="7" t="s">
        <v>479</v>
      </c>
      <c r="J31" s="20">
        <f>H31*1000/3600</f>
        <v>12.222222222222221</v>
      </c>
      <c r="K31" t="s">
        <v>480</v>
      </c>
      <c r="N31" s="7" t="s">
        <v>496</v>
      </c>
      <c r="O31" s="7">
        <v>14.026579999999999</v>
      </c>
      <c r="P31" s="7" t="s">
        <v>483</v>
      </c>
      <c r="Q31">
        <f>12.0107</f>
        <v>12.0107</v>
      </c>
      <c r="R31" s="7" t="s">
        <v>483</v>
      </c>
      <c r="S31" s="18" t="s">
        <v>497</v>
      </c>
      <c r="T31" s="18"/>
      <c r="U31" s="18"/>
      <c r="V31" s="18"/>
      <c r="W31" s="18"/>
    </row>
    <row r="32" spans="1:23" x14ac:dyDescent="0.3">
      <c r="A32" s="7" t="s">
        <v>498</v>
      </c>
      <c r="B32" s="7">
        <v>44.01</v>
      </c>
      <c r="C32" s="7" t="s">
        <v>483</v>
      </c>
      <c r="E32" s="7" t="s">
        <v>498</v>
      </c>
      <c r="N32" s="7" t="s">
        <v>498</v>
      </c>
      <c r="O32" s="7">
        <v>44.01</v>
      </c>
      <c r="P32" s="7" t="s">
        <v>483</v>
      </c>
      <c r="Q32">
        <f>12.0107</f>
        <v>12.0107</v>
      </c>
      <c r="R32" s="7" t="s">
        <v>483</v>
      </c>
    </row>
    <row r="33" spans="1:17" x14ac:dyDescent="0.3">
      <c r="L33" s="18">
        <v>3</v>
      </c>
      <c r="M33" s="18" t="s">
        <v>499</v>
      </c>
      <c r="N33" s="18" t="s">
        <v>500</v>
      </c>
      <c r="O33" s="18"/>
      <c r="Q33"/>
    </row>
    <row r="34" spans="1:17" x14ac:dyDescent="0.3">
      <c r="L34" s="22"/>
      <c r="M34" s="22"/>
      <c r="N34" s="7" t="s">
        <v>1130</v>
      </c>
      <c r="O34" s="22">
        <f>O24/(6*O32)</f>
        <v>0.61402938726047107</v>
      </c>
      <c r="P34" s="7" t="s">
        <v>1131</v>
      </c>
      <c r="Q34" s="22">
        <f>1/O34</f>
        <v>1.6285865477246293</v>
      </c>
    </row>
    <row r="35" spans="1:17" ht="21" x14ac:dyDescent="0.4">
      <c r="A35" s="16" t="s">
        <v>501</v>
      </c>
      <c r="L35" s="22"/>
      <c r="M35" s="22"/>
      <c r="N35" s="22"/>
      <c r="Q35"/>
    </row>
    <row r="36" spans="1:17" x14ac:dyDescent="0.3">
      <c r="A36" s="7" t="s">
        <v>502</v>
      </c>
      <c r="F36" s="7">
        <v>11.02</v>
      </c>
      <c r="G36" s="7" t="s">
        <v>503</v>
      </c>
      <c r="I36" t="s">
        <v>19</v>
      </c>
      <c r="L36" s="22"/>
      <c r="M36" s="22"/>
      <c r="N36" s="22"/>
      <c r="O36" s="22"/>
      <c r="Q36"/>
    </row>
    <row r="37" spans="1:17" x14ac:dyDescent="0.3">
      <c r="A37" s="7" t="s">
        <v>504</v>
      </c>
      <c r="F37" s="7">
        <v>6.3890000000000002</v>
      </c>
      <c r="G37" s="7" t="s">
        <v>503</v>
      </c>
      <c r="L37" s="22"/>
      <c r="M37" s="22"/>
      <c r="N37" s="22"/>
      <c r="O37" s="22"/>
      <c r="Q37"/>
    </row>
    <row r="38" spans="1:17" x14ac:dyDescent="0.3">
      <c r="A38" s="7" t="s">
        <v>505</v>
      </c>
      <c r="F38" s="327">
        <f>F36/F37</f>
        <v>1.7248395680075128</v>
      </c>
      <c r="L38" s="22"/>
      <c r="M38" s="22"/>
      <c r="N38" s="22"/>
      <c r="O38" s="22"/>
      <c r="Q38"/>
    </row>
    <row r="39" spans="1:17" x14ac:dyDescent="0.3">
      <c r="F39" s="327"/>
      <c r="L39" s="22"/>
      <c r="M39" s="22"/>
      <c r="N39" s="22"/>
      <c r="O39" s="22"/>
      <c r="Q39"/>
    </row>
    <row r="40" spans="1:17" ht="21" x14ac:dyDescent="0.4">
      <c r="A40" s="16" t="s">
        <v>1250</v>
      </c>
      <c r="F40" s="327"/>
      <c r="L40" s="22"/>
      <c r="M40" s="22"/>
      <c r="N40" s="22"/>
      <c r="O40" s="22"/>
      <c r="Q40"/>
    </row>
    <row r="41" spans="1:17" x14ac:dyDescent="0.3">
      <c r="A41" s="7" t="s">
        <v>1256</v>
      </c>
      <c r="B41" s="17">
        <v>4.4000000000000004</v>
      </c>
      <c r="C41" s="7" t="s">
        <v>1252</v>
      </c>
      <c r="F41" s="7" t="s">
        <v>1251</v>
      </c>
      <c r="L41" s="22"/>
      <c r="M41" s="22"/>
      <c r="N41" s="22"/>
      <c r="O41" s="22"/>
      <c r="Q41"/>
    </row>
    <row r="42" spans="1:17" x14ac:dyDescent="0.3">
      <c r="B42" s="350">
        <f>B41*365*158.9872956*0.9/1000</f>
        <v>229.80023706024002</v>
      </c>
      <c r="C42" t="s">
        <v>750</v>
      </c>
      <c r="D42" s="7" t="s">
        <v>1254</v>
      </c>
      <c r="F42" s="327"/>
      <c r="L42" s="22"/>
      <c r="M42" s="22"/>
      <c r="N42" s="22"/>
      <c r="O42" s="22"/>
      <c r="Q42"/>
    </row>
    <row r="43" spans="1:17" x14ac:dyDescent="0.3">
      <c r="A43" s="7" t="s">
        <v>1257</v>
      </c>
      <c r="B43" s="17">
        <v>365.58</v>
      </c>
      <c r="C43" s="7" t="s">
        <v>741</v>
      </c>
      <c r="F43" s="327" t="s">
        <v>1253</v>
      </c>
      <c r="L43" s="22"/>
      <c r="M43" s="22"/>
      <c r="N43" s="22"/>
      <c r="O43" s="22"/>
      <c r="Q43"/>
    </row>
    <row r="44" spans="1:17" x14ac:dyDescent="0.3">
      <c r="A44" s="7" t="s">
        <v>529</v>
      </c>
      <c r="B44" s="17">
        <f>B42+B43</f>
        <v>595.38023706024001</v>
      </c>
      <c r="C44" s="7" t="s">
        <v>741</v>
      </c>
      <c r="F44" s="327"/>
      <c r="L44" s="22"/>
      <c r="M44" s="22"/>
      <c r="N44" s="22"/>
      <c r="O44" s="22"/>
      <c r="Q44"/>
    </row>
    <row r="45" spans="1:17" x14ac:dyDescent="0.3">
      <c r="A45" s="7" t="s">
        <v>1255</v>
      </c>
      <c r="B45" s="7">
        <v>14093.420002875815</v>
      </c>
      <c r="C45" s="7" t="s">
        <v>741</v>
      </c>
      <c r="F45" s="327" t="s">
        <v>1258</v>
      </c>
      <c r="L45" s="22"/>
      <c r="M45" s="22"/>
      <c r="N45" s="22"/>
      <c r="O45" s="22"/>
      <c r="Q45"/>
    </row>
    <row r="46" spans="1:17" x14ac:dyDescent="0.3">
      <c r="A46" s="7" t="s">
        <v>1259</v>
      </c>
      <c r="B46" s="370">
        <f>B44/B45</f>
        <v>4.2245263175208748E-2</v>
      </c>
      <c r="F46" s="327"/>
      <c r="L46" s="22"/>
      <c r="M46" s="22"/>
      <c r="N46" s="22"/>
      <c r="O46" s="22"/>
      <c r="Q46"/>
    </row>
    <row r="47" spans="1:17" x14ac:dyDescent="0.3">
      <c r="A47" s="18" t="s">
        <v>1260</v>
      </c>
      <c r="B47" s="371">
        <v>0.05</v>
      </c>
      <c r="F47" s="327"/>
      <c r="L47" s="22"/>
      <c r="M47" s="22"/>
      <c r="N47" s="22"/>
      <c r="O47" s="22"/>
      <c r="Q47"/>
    </row>
    <row r="48" spans="1:17" x14ac:dyDescent="0.3">
      <c r="F48" s="327"/>
      <c r="L48" s="22"/>
      <c r="M48" s="22"/>
      <c r="N48" s="22"/>
      <c r="O48" s="22"/>
      <c r="Q48"/>
    </row>
    <row r="49" spans="1:17" ht="21" x14ac:dyDescent="0.4">
      <c r="A49" s="16" t="s">
        <v>1261</v>
      </c>
      <c r="F49" s="327"/>
      <c r="L49" s="22"/>
      <c r="M49" s="22"/>
      <c r="N49" s="22"/>
      <c r="O49" s="22"/>
      <c r="Q49"/>
    </row>
    <row r="50" spans="1:17" x14ac:dyDescent="0.3">
      <c r="A50" s="7" t="s">
        <v>1262</v>
      </c>
      <c r="F50" s="327"/>
      <c r="L50" s="22"/>
      <c r="M50" s="22"/>
      <c r="N50" s="22"/>
      <c r="O50" s="22"/>
      <c r="Q50"/>
    </row>
    <row r="51" spans="1:17" x14ac:dyDescent="0.3">
      <c r="A51" s="7" t="s">
        <v>1282</v>
      </c>
      <c r="B51">
        <v>0.82150000000000001</v>
      </c>
      <c r="C51" t="s">
        <v>1283</v>
      </c>
      <c r="D51" s="373">
        <v>44358</v>
      </c>
      <c r="F51" s="327"/>
      <c r="L51" s="22"/>
      <c r="M51" s="22"/>
      <c r="N51" s="22"/>
      <c r="O51" s="22"/>
      <c r="Q51"/>
    </row>
    <row r="52" spans="1:17" x14ac:dyDescent="0.3">
      <c r="A52" s="7" t="s">
        <v>1285</v>
      </c>
      <c r="B52" s="7">
        <v>4.4999999999999998E-2</v>
      </c>
      <c r="C52" s="7" t="s">
        <v>1048</v>
      </c>
      <c r="D52" s="7" t="s">
        <v>1290</v>
      </c>
      <c r="F52" s="327"/>
      <c r="L52" s="22"/>
      <c r="M52" s="22"/>
      <c r="N52" s="22"/>
      <c r="O52" s="22"/>
      <c r="Q52"/>
    </row>
    <row r="53" spans="1:17" x14ac:dyDescent="0.3">
      <c r="A53" s="7" t="s">
        <v>1263</v>
      </c>
      <c r="B53" s="7" t="s">
        <v>1264</v>
      </c>
      <c r="C53" s="7" t="s">
        <v>1273</v>
      </c>
      <c r="D53" s="327" t="s">
        <v>1274</v>
      </c>
      <c r="E53" s="7" t="s">
        <v>1266</v>
      </c>
      <c r="F53" s="7" t="s">
        <v>1276</v>
      </c>
      <c r="H53" s="7" t="s">
        <v>1264</v>
      </c>
      <c r="I53" s="7" t="s">
        <v>1265</v>
      </c>
      <c r="J53" s="22" t="s">
        <v>1267</v>
      </c>
      <c r="K53" s="22" t="s">
        <v>1268</v>
      </c>
      <c r="L53" s="22" t="s">
        <v>529</v>
      </c>
      <c r="Q53"/>
    </row>
    <row r="54" spans="1:17" x14ac:dyDescent="0.3">
      <c r="F54" s="7" t="s">
        <v>1277</v>
      </c>
      <c r="J54" s="7" t="s">
        <v>1284</v>
      </c>
    </row>
    <row r="55" spans="1:17" x14ac:dyDescent="0.3">
      <c r="F55" s="7">
        <v>7.4999999999999997E-2</v>
      </c>
      <c r="G55" s="7">
        <v>0.125</v>
      </c>
      <c r="J55" s="7">
        <v>0.1</v>
      </c>
      <c r="K55" s="7" t="s">
        <v>1288</v>
      </c>
    </row>
    <row r="56" spans="1:17" x14ac:dyDescent="0.3">
      <c r="B56" s="7" t="s">
        <v>1269</v>
      </c>
      <c r="C56" s="7" t="s">
        <v>1270</v>
      </c>
      <c r="D56" s="327" t="s">
        <v>1275</v>
      </c>
      <c r="E56" s="7" t="s">
        <v>1271</v>
      </c>
      <c r="F56" s="7" t="s">
        <v>1271</v>
      </c>
      <c r="G56" s="7" t="s">
        <v>1271</v>
      </c>
      <c r="H56" s="7" t="s">
        <v>1270</v>
      </c>
      <c r="I56" s="7" t="s">
        <v>1270</v>
      </c>
      <c r="J56" s="22" t="s">
        <v>1272</v>
      </c>
      <c r="K56" s="22" t="s">
        <v>1272</v>
      </c>
      <c r="L56" s="22" t="s">
        <v>1272</v>
      </c>
    </row>
    <row r="57" spans="1:17" x14ac:dyDescent="0.3">
      <c r="A57" s="7" t="s">
        <v>1279</v>
      </c>
      <c r="B57" s="7">
        <v>8.81</v>
      </c>
      <c r="C57" s="7">
        <v>0</v>
      </c>
      <c r="D57" s="24">
        <v>1146</v>
      </c>
      <c r="E57" s="7">
        <v>42</v>
      </c>
      <c r="F57" s="24">
        <f>E57/0.9+D57*0.075+B57*3.5/0.9+C57*60/1000</f>
        <v>166.87777777777779</v>
      </c>
      <c r="G57" s="24">
        <f>E57/0.9+D57*0.125+B57*3.5/0.9+C57*60/1000</f>
        <v>224.17777777777778</v>
      </c>
      <c r="H57" s="24">
        <f>B57*1000000/3600</f>
        <v>2447.2222222222222</v>
      </c>
      <c r="I57" s="24">
        <f>B57*1000000/3600+C57</f>
        <v>2447.2222222222222</v>
      </c>
      <c r="J57" s="372">
        <f>D57*$B$51*$J$55+E57*$B$51/0.9</f>
        <v>132.48056666666668</v>
      </c>
      <c r="K57" s="372">
        <f>I57*$B$52</f>
        <v>110.125</v>
      </c>
      <c r="L57" s="372">
        <f>J57+K57</f>
        <v>242.60556666666668</v>
      </c>
      <c r="M57" s="7" t="s">
        <v>1287</v>
      </c>
    </row>
    <row r="58" spans="1:17" x14ac:dyDescent="0.3">
      <c r="A58" s="7" t="s">
        <v>1278</v>
      </c>
      <c r="B58" s="7">
        <v>8.81</v>
      </c>
      <c r="C58" s="7">
        <v>0</v>
      </c>
      <c r="D58" s="24">
        <v>793</v>
      </c>
      <c r="E58" s="7">
        <v>30</v>
      </c>
      <c r="F58" s="24">
        <f>E58/0.9+D58*0.075+B58*3.5/0.9+C58*60/1000</f>
        <v>127.06944444444446</v>
      </c>
      <c r="G58" s="24">
        <f>E58/0.9+D58*0.125+B58*3.5/0.9+C58*60/1000</f>
        <v>166.71944444444446</v>
      </c>
      <c r="H58" s="24">
        <f>B58*1000000/3600</f>
        <v>2447.2222222222222</v>
      </c>
      <c r="I58" s="24">
        <f>B58*1000000/3600+C58</f>
        <v>2447.2222222222222</v>
      </c>
      <c r="J58" s="372">
        <f>D58*$B$51*$J$55+E58*$B$51/0.9</f>
        <v>92.528283333333349</v>
      </c>
      <c r="K58" s="372">
        <f>I58*$B$52</f>
        <v>110.125</v>
      </c>
      <c r="L58" s="372">
        <f t="shared" ref="L58:L60" si="1">J58+K58</f>
        <v>202.65328333333335</v>
      </c>
    </row>
    <row r="59" spans="1:17" x14ac:dyDescent="0.3">
      <c r="A59" s="7" t="s">
        <v>1280</v>
      </c>
      <c r="B59" s="7">
        <v>5.25</v>
      </c>
      <c r="C59" s="7">
        <v>366</v>
      </c>
      <c r="D59" s="24">
        <v>694</v>
      </c>
      <c r="E59" s="7">
        <v>26</v>
      </c>
      <c r="F59" s="24">
        <f>E59/0.9+D59*0.075+B59*3.5/0.9+C59*60/1000</f>
        <v>123.31555555555556</v>
      </c>
      <c r="G59" s="24">
        <f>E59/0.9+D59*0.125+B59*3.5/0.9+C59*60/1000</f>
        <v>158.01555555555555</v>
      </c>
      <c r="H59" s="24">
        <f>B59*1000000/3600</f>
        <v>1458.3333333333333</v>
      </c>
      <c r="I59" s="24">
        <f>B59*1000000/3600+C59</f>
        <v>1824.3333333333333</v>
      </c>
      <c r="J59" s="372">
        <f>D59*$B$51*$J$55+E59*$B$51/0.9</f>
        <v>80.744322222222223</v>
      </c>
      <c r="K59" s="372">
        <f>I59*$B$52</f>
        <v>82.094999999999999</v>
      </c>
      <c r="L59" s="372">
        <f t="shared" si="1"/>
        <v>162.83932222222222</v>
      </c>
    </row>
    <row r="60" spans="1:17" x14ac:dyDescent="0.3">
      <c r="A60" s="7" t="s">
        <v>1281</v>
      </c>
      <c r="B60" s="7">
        <v>5.25</v>
      </c>
      <c r="C60" s="7">
        <v>77</v>
      </c>
      <c r="D60" s="24">
        <v>609</v>
      </c>
      <c r="E60" s="7">
        <v>23</v>
      </c>
      <c r="F60" s="24">
        <f>E60/0.9+D60*0.075+B60*3.5/0.9+C60*60/1000</f>
        <v>96.26722222222223</v>
      </c>
      <c r="G60" s="24">
        <f>E60/0.9+D60*0.125+B60*3.5/0.9+C60*60/1000</f>
        <v>126.71722222222223</v>
      </c>
      <c r="H60" s="24">
        <f>B60*1000000/3600</f>
        <v>1458.3333333333333</v>
      </c>
      <c r="I60" s="24">
        <f>B60*1000000/3600+C60</f>
        <v>1535.3333333333333</v>
      </c>
      <c r="J60" s="372">
        <f>D60*$B$51*$J$55+E60*$B$51/0.9</f>
        <v>71.023238888888898</v>
      </c>
      <c r="K60" s="372">
        <f>I60*$B$52</f>
        <v>69.089999999999989</v>
      </c>
      <c r="L60" s="372">
        <f t="shared" si="1"/>
        <v>140.11323888888887</v>
      </c>
      <c r="M60" s="7" t="s">
        <v>1286</v>
      </c>
    </row>
    <row r="61" spans="1:17" x14ac:dyDescent="0.3">
      <c r="A61" s="18" t="s">
        <v>1289</v>
      </c>
      <c r="B61" s="18"/>
      <c r="C61" s="18"/>
      <c r="D61" s="18"/>
      <c r="E61" s="18"/>
      <c r="F61" s="374"/>
      <c r="G61" s="18"/>
      <c r="H61" s="18"/>
      <c r="I61" s="18"/>
      <c r="J61" s="240"/>
      <c r="K61" s="18"/>
      <c r="L61" s="240">
        <f>AVERAGE(L58:L59)</f>
        <v>182.74630277777777</v>
      </c>
      <c r="M61" s="22"/>
      <c r="N61" s="22"/>
      <c r="O61" s="22"/>
      <c r="Q61"/>
    </row>
    <row r="62" spans="1:17" x14ac:dyDescent="0.3">
      <c r="J62" s="372"/>
      <c r="Q62"/>
    </row>
    <row r="63" spans="1:17" ht="21" x14ac:dyDescent="0.4">
      <c r="A63" s="16" t="s">
        <v>1249</v>
      </c>
      <c r="L63" s="22"/>
      <c r="M63" s="22"/>
      <c r="N63" s="22"/>
      <c r="O63" s="22"/>
      <c r="Q63"/>
    </row>
    <row r="64" spans="1:17" customFormat="1" x14ac:dyDescent="0.3">
      <c r="A64" s="354" t="s">
        <v>1076</v>
      </c>
      <c r="B64" s="355"/>
      <c r="C64" s="355"/>
      <c r="D64" s="355"/>
      <c r="E64" s="355"/>
      <c r="F64" s="355"/>
      <c r="G64" s="355"/>
      <c r="H64" s="355"/>
      <c r="I64" s="355"/>
      <c r="J64" s="355"/>
      <c r="K64" s="355"/>
      <c r="L64" s="355"/>
      <c r="M64" s="355"/>
      <c r="N64" s="355"/>
      <c r="O64" s="355"/>
    </row>
    <row r="65" spans="1:34" customFormat="1" x14ac:dyDescent="0.3">
      <c r="A65" s="355" t="s">
        <v>1077</v>
      </c>
      <c r="B65" s="355"/>
      <c r="C65" s="355"/>
      <c r="D65" s="355"/>
      <c r="E65" s="355"/>
      <c r="F65" s="355"/>
      <c r="G65" s="355"/>
      <c r="H65" s="355"/>
      <c r="I65" s="355"/>
      <c r="J65" s="355"/>
      <c r="K65" s="355"/>
      <c r="L65" s="355"/>
      <c r="M65" s="355"/>
      <c r="N65" s="355"/>
      <c r="O65" s="355"/>
    </row>
    <row r="66" spans="1:34" customFormat="1" x14ac:dyDescent="0.3">
      <c r="A66" s="355"/>
      <c r="B66" s="355" t="s">
        <v>1078</v>
      </c>
      <c r="C66" s="355"/>
      <c r="D66" s="355" t="s">
        <v>1079</v>
      </c>
      <c r="E66" s="355"/>
      <c r="F66" s="355"/>
      <c r="G66" s="355"/>
      <c r="H66" s="355"/>
      <c r="I66" s="355"/>
      <c r="J66" s="355" t="s">
        <v>1080</v>
      </c>
      <c r="K66" s="355"/>
      <c r="L66" s="355"/>
      <c r="M66" s="355"/>
      <c r="N66" s="355" t="s">
        <v>1081</v>
      </c>
      <c r="O66" s="355"/>
      <c r="Q66" t="s">
        <v>1082</v>
      </c>
      <c r="S66" t="s">
        <v>1083</v>
      </c>
      <c r="U66" t="s">
        <v>780</v>
      </c>
      <c r="Y66" t="s">
        <v>1084</v>
      </c>
      <c r="AA66" t="s">
        <v>1083</v>
      </c>
      <c r="AC66" t="s">
        <v>1169</v>
      </c>
    </row>
    <row r="67" spans="1:34" customFormat="1" x14ac:dyDescent="0.3">
      <c r="A67" s="355"/>
      <c r="B67" s="355" t="s">
        <v>1085</v>
      </c>
      <c r="C67" s="355" t="s">
        <v>1085</v>
      </c>
      <c r="D67" s="355" t="s">
        <v>1086</v>
      </c>
      <c r="E67" s="355" t="s">
        <v>1086</v>
      </c>
      <c r="F67" s="355" t="s">
        <v>1086</v>
      </c>
      <c r="G67" s="355" t="s">
        <v>1086</v>
      </c>
      <c r="H67" s="355" t="s">
        <v>1086</v>
      </c>
      <c r="I67" s="355" t="s">
        <v>1086</v>
      </c>
      <c r="J67" s="355" t="s">
        <v>1087</v>
      </c>
      <c r="K67" s="355" t="s">
        <v>1087</v>
      </c>
      <c r="L67" s="355" t="s">
        <v>1087</v>
      </c>
      <c r="M67" s="355" t="s">
        <v>1087</v>
      </c>
      <c r="N67" s="355" t="s">
        <v>1088</v>
      </c>
      <c r="O67" s="355"/>
      <c r="Q67" t="s">
        <v>1087</v>
      </c>
      <c r="R67" t="s">
        <v>1087</v>
      </c>
      <c r="S67" t="s">
        <v>1089</v>
      </c>
      <c r="T67" t="s">
        <v>1089</v>
      </c>
      <c r="U67" t="s">
        <v>1087</v>
      </c>
      <c r="V67" t="s">
        <v>1089</v>
      </c>
      <c r="Y67" t="s">
        <v>1087</v>
      </c>
      <c r="Z67" t="s">
        <v>1087</v>
      </c>
      <c r="AA67" t="s">
        <v>1089</v>
      </c>
      <c r="AB67" t="s">
        <v>1089</v>
      </c>
      <c r="AC67" t="s">
        <v>792</v>
      </c>
      <c r="AD67" t="s">
        <v>792</v>
      </c>
    </row>
    <row r="68" spans="1:34" customFormat="1" x14ac:dyDescent="0.3">
      <c r="A68" s="355"/>
      <c r="B68" s="355" t="s">
        <v>1090</v>
      </c>
      <c r="C68" s="355" t="s">
        <v>1091</v>
      </c>
      <c r="D68" s="355" t="s">
        <v>1090</v>
      </c>
      <c r="E68" s="355"/>
      <c r="F68" s="355"/>
      <c r="G68" s="355" t="s">
        <v>1091</v>
      </c>
      <c r="H68" s="355" t="s">
        <v>1092</v>
      </c>
      <c r="I68" s="355"/>
      <c r="J68" s="355" t="s">
        <v>1090</v>
      </c>
      <c r="K68" s="355"/>
      <c r="L68" s="355" t="s">
        <v>1091</v>
      </c>
      <c r="M68" s="355" t="s">
        <v>1092</v>
      </c>
      <c r="N68" s="355" t="s">
        <v>1093</v>
      </c>
      <c r="O68" s="355" t="s">
        <v>1091</v>
      </c>
      <c r="Q68" s="328" t="s">
        <v>1090</v>
      </c>
      <c r="R68" s="328" t="s">
        <v>1094</v>
      </c>
      <c r="S68" s="328" t="s">
        <v>1095</v>
      </c>
      <c r="T68" s="328" t="s">
        <v>1091</v>
      </c>
      <c r="Y68" s="328" t="s">
        <v>1090</v>
      </c>
      <c r="Z68" s="328" t="s">
        <v>1094</v>
      </c>
      <c r="AA68" s="328" t="s">
        <v>1095</v>
      </c>
      <c r="AB68" s="328" t="s">
        <v>1091</v>
      </c>
    </row>
    <row r="69" spans="1:34" customFormat="1" x14ac:dyDescent="0.3">
      <c r="A69" s="355"/>
      <c r="B69" s="355"/>
      <c r="C69" s="355"/>
      <c r="D69" s="355" t="s">
        <v>1096</v>
      </c>
      <c r="E69" s="355" t="s">
        <v>1097</v>
      </c>
      <c r="F69" s="355" t="s">
        <v>1098</v>
      </c>
      <c r="G69" s="355" t="s">
        <v>1096</v>
      </c>
      <c r="H69" s="355" t="s">
        <v>1097</v>
      </c>
      <c r="I69" s="355" t="s">
        <v>1098</v>
      </c>
      <c r="J69" s="355" t="s">
        <v>1096</v>
      </c>
      <c r="K69" s="355" t="s">
        <v>1097</v>
      </c>
      <c r="L69" s="355" t="s">
        <v>1096</v>
      </c>
      <c r="M69" s="355" t="s">
        <v>1097</v>
      </c>
      <c r="N69" s="355"/>
      <c r="O69" s="355"/>
    </row>
    <row r="70" spans="1:34" customFormat="1" x14ac:dyDescent="0.3">
      <c r="A70" s="355" t="s">
        <v>1099</v>
      </c>
      <c r="B70" s="355">
        <v>1.76</v>
      </c>
      <c r="C70" s="355">
        <v>1.75</v>
      </c>
      <c r="D70" s="355">
        <v>212</v>
      </c>
      <c r="E70" s="355">
        <v>216</v>
      </c>
      <c r="F70" s="355">
        <f>D70+E70</f>
        <v>428</v>
      </c>
      <c r="G70" s="355">
        <v>340</v>
      </c>
      <c r="H70" s="355">
        <v>213</v>
      </c>
      <c r="I70" s="355">
        <f>G70+H70</f>
        <v>553</v>
      </c>
      <c r="J70" s="355">
        <v>120</v>
      </c>
      <c r="K70" s="355">
        <v>123</v>
      </c>
      <c r="L70" s="355">
        <v>194</v>
      </c>
      <c r="M70" s="355">
        <v>122</v>
      </c>
      <c r="N70" s="355">
        <v>13.7</v>
      </c>
      <c r="O70" s="355">
        <v>21.9</v>
      </c>
      <c r="P70" t="s">
        <v>1099</v>
      </c>
      <c r="Q70">
        <f>J70+K70</f>
        <v>243</v>
      </c>
      <c r="R70">
        <f>L70+M70</f>
        <v>316</v>
      </c>
      <c r="S70" s="350">
        <f>N70/B70</f>
        <v>7.7840909090909083</v>
      </c>
      <c r="T70" s="350">
        <f>O70/C70</f>
        <v>12.514285714285714</v>
      </c>
      <c r="U70">
        <f>AVERAGE(Q70:R70)</f>
        <v>279.5</v>
      </c>
      <c r="V70" s="350">
        <f>AVERAGE(S70:T70)</f>
        <v>10.149188311688311</v>
      </c>
      <c r="W70" s="350"/>
      <c r="X70" s="350" t="s">
        <v>1100</v>
      </c>
      <c r="Y70" s="351">
        <f>(F70+F71+F72)/(B70+B71+B72)</f>
        <v>274.8201438848921</v>
      </c>
      <c r="Z70" s="350">
        <f>(I70+I71+I72)/(C70+C71+C72)</f>
        <v>298.07692307692309</v>
      </c>
      <c r="AA70" s="350">
        <f>(N70+N71+N72)/(B70+B71+B72)</f>
        <v>5.6115107913669062</v>
      </c>
      <c r="AB70" s="350">
        <f>(O70+O71+O72)/(C70+C71+C72)</f>
        <v>7.8365384615384617</v>
      </c>
      <c r="AC70">
        <f>Y70/AA70</f>
        <v>48.974358974358978</v>
      </c>
      <c r="AD70">
        <f>Z70/AB70</f>
        <v>38.036809815950924</v>
      </c>
    </row>
    <row r="71" spans="1:34" customFormat="1" x14ac:dyDescent="0.3">
      <c r="A71" s="355" t="s">
        <v>1101</v>
      </c>
      <c r="B71" s="355">
        <v>1.04</v>
      </c>
      <c r="C71" s="355">
        <v>1.04</v>
      </c>
      <c r="D71" s="355">
        <v>59</v>
      </c>
      <c r="E71" s="355">
        <v>100</v>
      </c>
      <c r="F71" s="355">
        <f t="shared" ref="F71:F78" si="2">D71+E71</f>
        <v>159</v>
      </c>
      <c r="G71" s="355">
        <v>139</v>
      </c>
      <c r="H71" s="355">
        <v>153</v>
      </c>
      <c r="I71" s="355">
        <f t="shared" ref="I71:I77" si="3">G71+H71</f>
        <v>292</v>
      </c>
      <c r="J71" s="355">
        <v>57</v>
      </c>
      <c r="K71" s="355">
        <v>96</v>
      </c>
      <c r="L71" s="355">
        <v>134</v>
      </c>
      <c r="M71" s="355">
        <v>147</v>
      </c>
      <c r="N71" s="355">
        <v>6.5</v>
      </c>
      <c r="O71" s="355">
        <v>8.1</v>
      </c>
      <c r="P71" t="s">
        <v>1101</v>
      </c>
      <c r="Q71">
        <f t="shared" ref="Q71:Q78" si="4">J71+K71</f>
        <v>153</v>
      </c>
      <c r="R71">
        <f t="shared" ref="R71:R77" si="5">L71+M71</f>
        <v>281</v>
      </c>
      <c r="S71" s="350">
        <f t="shared" ref="S71:T78" si="6">N71/B71</f>
        <v>6.25</v>
      </c>
      <c r="T71" s="350">
        <f t="shared" si="6"/>
        <v>7.7884615384615374</v>
      </c>
      <c r="U71">
        <f t="shared" ref="U71:U77" si="7">AVERAGE(Q71:R71)</f>
        <v>217</v>
      </c>
      <c r="V71" s="350">
        <f t="shared" ref="V71:V77" si="8">AVERAGE(S71:T71)</f>
        <v>7.0192307692307683</v>
      </c>
      <c r="W71" s="350"/>
      <c r="X71" s="350" t="s">
        <v>1102</v>
      </c>
      <c r="Y71" s="351">
        <f>(F73+F74)/(B73+B74)</f>
        <v>181.14285714285714</v>
      </c>
      <c r="Z71" s="350">
        <f>(I73+I74)/(C73+C74)</f>
        <v>115.63876651982379</v>
      </c>
      <c r="AA71" s="350">
        <f>(N73+N74)/(B73+B74)</f>
        <v>6.5714285714285712</v>
      </c>
      <c r="AB71" s="350">
        <f>(O73+O74)/(C73+C74)</f>
        <v>4.8237885462555061</v>
      </c>
      <c r="AC71">
        <f t="shared" ref="AC71:AD73" si="9">Y71/AA71</f>
        <v>27.565217391304348</v>
      </c>
      <c r="AD71">
        <f t="shared" si="9"/>
        <v>23.972602739726032</v>
      </c>
    </row>
    <row r="72" spans="1:34" customFormat="1" x14ac:dyDescent="0.3">
      <c r="A72" s="355" t="s">
        <v>1103</v>
      </c>
      <c r="B72" s="355">
        <v>1.37</v>
      </c>
      <c r="C72" s="355">
        <v>1.37</v>
      </c>
      <c r="D72" s="355">
        <v>88</v>
      </c>
      <c r="E72" s="355">
        <v>471</v>
      </c>
      <c r="F72" s="355">
        <f t="shared" si="2"/>
        <v>559</v>
      </c>
      <c r="G72" s="355">
        <v>57</v>
      </c>
      <c r="H72" s="355">
        <v>338</v>
      </c>
      <c r="I72" s="355">
        <f t="shared" si="3"/>
        <v>395</v>
      </c>
      <c r="J72" s="355">
        <v>64</v>
      </c>
      <c r="K72" s="355">
        <v>344</v>
      </c>
      <c r="L72" s="355">
        <v>42</v>
      </c>
      <c r="M72" s="355">
        <v>247</v>
      </c>
      <c r="N72" s="355">
        <v>3.2</v>
      </c>
      <c r="O72" s="355">
        <v>2.6</v>
      </c>
      <c r="P72" t="s">
        <v>1103</v>
      </c>
      <c r="Q72">
        <f t="shared" si="4"/>
        <v>408</v>
      </c>
      <c r="R72">
        <f t="shared" si="5"/>
        <v>289</v>
      </c>
      <c r="S72" s="350">
        <f t="shared" si="6"/>
        <v>2.335766423357664</v>
      </c>
      <c r="T72" s="350">
        <f t="shared" si="6"/>
        <v>1.8978102189781021</v>
      </c>
      <c r="U72">
        <f t="shared" si="7"/>
        <v>348.5</v>
      </c>
      <c r="V72" s="350">
        <f t="shared" si="8"/>
        <v>2.1167883211678831</v>
      </c>
      <c r="W72" s="350"/>
      <c r="X72" s="350" t="s">
        <v>1104</v>
      </c>
      <c r="Y72" s="351">
        <f>Q77</f>
        <v>82</v>
      </c>
      <c r="Z72" s="350">
        <f>R77</f>
        <v>125</v>
      </c>
      <c r="AA72" s="350">
        <f>S77</f>
        <v>4.25</v>
      </c>
      <c r="AB72" s="350">
        <f>T77</f>
        <v>3.0370370370370368</v>
      </c>
      <c r="AC72">
        <f t="shared" si="9"/>
        <v>19.294117647058822</v>
      </c>
      <c r="AD72">
        <f t="shared" si="9"/>
        <v>41.158536585365859</v>
      </c>
    </row>
    <row r="73" spans="1:34" customFormat="1" x14ac:dyDescent="0.3">
      <c r="A73" s="355" t="s">
        <v>1105</v>
      </c>
      <c r="B73" s="355">
        <v>2.25</v>
      </c>
      <c r="C73" s="355">
        <v>2.76</v>
      </c>
      <c r="D73" s="355">
        <v>66</v>
      </c>
      <c r="E73" s="355">
        <v>264</v>
      </c>
      <c r="F73" s="355">
        <f t="shared" si="2"/>
        <v>330</v>
      </c>
      <c r="G73" s="355">
        <v>79</v>
      </c>
      <c r="H73" s="355">
        <v>247</v>
      </c>
      <c r="I73" s="355">
        <f t="shared" si="3"/>
        <v>326</v>
      </c>
      <c r="J73" s="355">
        <v>29</v>
      </c>
      <c r="K73" s="355">
        <v>117</v>
      </c>
      <c r="L73" s="355">
        <v>29</v>
      </c>
      <c r="M73" s="355">
        <v>90</v>
      </c>
      <c r="N73" s="355">
        <v>17.7</v>
      </c>
      <c r="O73" s="355">
        <v>14.9</v>
      </c>
      <c r="P73" t="s">
        <v>1105</v>
      </c>
      <c r="Q73">
        <f t="shared" si="4"/>
        <v>146</v>
      </c>
      <c r="R73">
        <f t="shared" si="5"/>
        <v>119</v>
      </c>
      <c r="S73" s="350">
        <f t="shared" si="6"/>
        <v>7.8666666666666663</v>
      </c>
      <c r="T73" s="350">
        <f t="shared" si="6"/>
        <v>5.3985507246376816</v>
      </c>
      <c r="U73">
        <f t="shared" si="7"/>
        <v>132.5</v>
      </c>
      <c r="V73" s="350">
        <f t="shared" si="8"/>
        <v>6.6326086956521735</v>
      </c>
      <c r="W73" s="350"/>
      <c r="X73" t="s">
        <v>1106</v>
      </c>
      <c r="Y73" s="351">
        <f>Q78</f>
        <v>686</v>
      </c>
      <c r="AA73" s="350">
        <f>S78</f>
        <v>12.285714285714286</v>
      </c>
      <c r="AC73">
        <f t="shared" si="9"/>
        <v>55.837209302325576</v>
      </c>
    </row>
    <row r="74" spans="1:34" customFormat="1" x14ac:dyDescent="0.3">
      <c r="A74" s="355" t="s">
        <v>1107</v>
      </c>
      <c r="B74" s="355">
        <v>1.25</v>
      </c>
      <c r="C74" s="355">
        <v>1.78</v>
      </c>
      <c r="D74" s="355">
        <v>9</v>
      </c>
      <c r="E74" s="355">
        <v>295</v>
      </c>
      <c r="F74" s="355">
        <f t="shared" si="2"/>
        <v>304</v>
      </c>
      <c r="G74" s="355">
        <v>23</v>
      </c>
      <c r="H74" s="355">
        <v>176</v>
      </c>
      <c r="I74" s="355">
        <f t="shared" si="3"/>
        <v>199</v>
      </c>
      <c r="J74" s="355">
        <v>7</v>
      </c>
      <c r="K74" s="355">
        <v>236</v>
      </c>
      <c r="L74" s="355">
        <v>13</v>
      </c>
      <c r="M74" s="355">
        <v>99</v>
      </c>
      <c r="N74" s="355">
        <v>5.3</v>
      </c>
      <c r="O74" s="355">
        <v>7</v>
      </c>
      <c r="P74" t="s">
        <v>1107</v>
      </c>
      <c r="Q74">
        <f t="shared" si="4"/>
        <v>243</v>
      </c>
      <c r="R74">
        <f t="shared" si="5"/>
        <v>112</v>
      </c>
      <c r="S74" s="350">
        <f t="shared" si="6"/>
        <v>4.24</v>
      </c>
      <c r="T74" s="350">
        <f t="shared" si="6"/>
        <v>3.9325842696629212</v>
      </c>
      <c r="U74">
        <f t="shared" si="7"/>
        <v>177.5</v>
      </c>
      <c r="V74" s="350">
        <f t="shared" si="8"/>
        <v>4.0862921348314609</v>
      </c>
      <c r="W74" s="350"/>
      <c r="X74" s="350"/>
      <c r="Z74" s="350"/>
      <c r="AA74" s="350"/>
      <c r="AB74" s="350"/>
    </row>
    <row r="75" spans="1:34" customFormat="1" x14ac:dyDescent="0.3">
      <c r="A75" s="355" t="s">
        <v>1108</v>
      </c>
      <c r="B75" s="355">
        <v>4.55</v>
      </c>
      <c r="C75" s="355">
        <v>2.77</v>
      </c>
      <c r="D75" s="355">
        <v>8</v>
      </c>
      <c r="E75" s="355">
        <v>191</v>
      </c>
      <c r="F75" s="355">
        <f t="shared" si="2"/>
        <v>199</v>
      </c>
      <c r="G75" s="355">
        <v>10</v>
      </c>
      <c r="H75" s="355">
        <v>159</v>
      </c>
      <c r="I75" s="355">
        <f t="shared" si="3"/>
        <v>169</v>
      </c>
      <c r="J75" s="355">
        <v>2</v>
      </c>
      <c r="K75" s="355">
        <v>42</v>
      </c>
      <c r="L75" s="355">
        <v>4</v>
      </c>
      <c r="M75" s="355">
        <v>57</v>
      </c>
      <c r="N75" s="355">
        <v>1.4</v>
      </c>
      <c r="O75" s="355">
        <v>3.5</v>
      </c>
      <c r="P75" t="s">
        <v>1108</v>
      </c>
      <c r="Q75">
        <f t="shared" si="4"/>
        <v>44</v>
      </c>
      <c r="R75">
        <f t="shared" si="5"/>
        <v>61</v>
      </c>
      <c r="S75" s="350">
        <f t="shared" si="6"/>
        <v>0.30769230769230771</v>
      </c>
      <c r="T75" s="350">
        <f t="shared" si="6"/>
        <v>1.2635379061371841</v>
      </c>
      <c r="U75">
        <f t="shared" si="7"/>
        <v>52.5</v>
      </c>
      <c r="V75" s="350">
        <f t="shared" si="8"/>
        <v>0.7856151069147459</v>
      </c>
      <c r="W75" s="350"/>
      <c r="X75" s="350" t="s">
        <v>1109</v>
      </c>
      <c r="Y75" s="349" t="s">
        <v>1110</v>
      </c>
      <c r="Z75" s="349" t="s">
        <v>1110</v>
      </c>
      <c r="AA75" t="s">
        <v>1111</v>
      </c>
    </row>
    <row r="76" spans="1:34" customFormat="1" x14ac:dyDescent="0.3">
      <c r="A76" s="355" t="s">
        <v>1112</v>
      </c>
      <c r="B76" s="355">
        <v>0.95</v>
      </c>
      <c r="C76" s="355">
        <v>0.56000000000000005</v>
      </c>
      <c r="D76" s="355">
        <v>6</v>
      </c>
      <c r="E76" s="355">
        <v>121</v>
      </c>
      <c r="F76" s="355">
        <f t="shared" si="2"/>
        <v>127</v>
      </c>
      <c r="G76" s="355">
        <v>2</v>
      </c>
      <c r="H76" s="355">
        <v>115</v>
      </c>
      <c r="I76" s="355">
        <f t="shared" si="3"/>
        <v>117</v>
      </c>
      <c r="J76" s="355">
        <v>6</v>
      </c>
      <c r="K76" s="355">
        <v>127</v>
      </c>
      <c r="L76" s="355">
        <v>4</v>
      </c>
      <c r="M76" s="355">
        <v>206</v>
      </c>
      <c r="N76" s="355">
        <v>1</v>
      </c>
      <c r="O76" s="355">
        <v>0.5</v>
      </c>
      <c r="P76" t="s">
        <v>1112</v>
      </c>
      <c r="Q76">
        <f t="shared" si="4"/>
        <v>133</v>
      </c>
      <c r="R76">
        <f t="shared" si="5"/>
        <v>210</v>
      </c>
      <c r="S76" s="350">
        <f t="shared" si="6"/>
        <v>1.0526315789473684</v>
      </c>
      <c r="T76" s="350">
        <f t="shared" si="6"/>
        <v>0.89285714285714279</v>
      </c>
      <c r="U76">
        <f t="shared" si="7"/>
        <v>171.5</v>
      </c>
      <c r="V76" s="350">
        <f t="shared" si="8"/>
        <v>0.97274436090225558</v>
      </c>
      <c r="W76" s="350"/>
      <c r="X76" s="350" t="s">
        <v>1100</v>
      </c>
      <c r="Y76" s="356">
        <f>Y70*44.0095/12.0107</f>
        <v>1006.9935242993464</v>
      </c>
      <c r="Z76" s="356">
        <f>Z70*44.0095/12.0107</f>
        <v>1092.2108075427616</v>
      </c>
      <c r="AA76" s="350">
        <f>AA70*44.0095/12.0107</f>
        <v>20.561647878363615</v>
      </c>
      <c r="AB76" s="350">
        <f>AB70*44.0095/12.0107</f>
        <v>28.714574456366154</v>
      </c>
      <c r="AC76">
        <f>Y76/AA76</f>
        <v>48.974358974358978</v>
      </c>
      <c r="AD76">
        <f>Z76/AB76</f>
        <v>38.036809815950917</v>
      </c>
    </row>
    <row r="77" spans="1:34" customFormat="1" x14ac:dyDescent="0.3">
      <c r="A77" s="355" t="s">
        <v>1104</v>
      </c>
      <c r="B77" s="355">
        <v>1.6</v>
      </c>
      <c r="C77" s="355">
        <v>1.35</v>
      </c>
      <c r="D77" s="355">
        <v>3</v>
      </c>
      <c r="E77" s="355">
        <v>128</v>
      </c>
      <c r="F77" s="355">
        <f t="shared" si="2"/>
        <v>131</v>
      </c>
      <c r="G77" s="355">
        <v>4</v>
      </c>
      <c r="H77" s="355">
        <v>165</v>
      </c>
      <c r="I77" s="355">
        <f t="shared" si="3"/>
        <v>169</v>
      </c>
      <c r="J77" s="355">
        <v>2</v>
      </c>
      <c r="K77" s="355">
        <v>80</v>
      </c>
      <c r="L77" s="355">
        <v>3</v>
      </c>
      <c r="M77" s="355">
        <v>122</v>
      </c>
      <c r="N77" s="355">
        <v>6.8</v>
      </c>
      <c r="O77" s="355">
        <v>4.0999999999999996</v>
      </c>
      <c r="P77" t="s">
        <v>1104</v>
      </c>
      <c r="Q77">
        <f t="shared" si="4"/>
        <v>82</v>
      </c>
      <c r="R77">
        <f t="shared" si="5"/>
        <v>125</v>
      </c>
      <c r="S77" s="350">
        <f t="shared" si="6"/>
        <v>4.25</v>
      </c>
      <c r="T77" s="350">
        <f t="shared" si="6"/>
        <v>3.0370370370370368</v>
      </c>
      <c r="U77">
        <f t="shared" si="7"/>
        <v>103.5</v>
      </c>
      <c r="V77" s="350">
        <f t="shared" si="8"/>
        <v>3.6435185185185182</v>
      </c>
      <c r="W77" s="350"/>
      <c r="X77" s="350" t="s">
        <v>1102</v>
      </c>
      <c r="Y77" s="356">
        <f t="shared" ref="Y77:AA79" si="10">Y71*44.0095/12.0107</f>
        <v>663.74204429621693</v>
      </c>
      <c r="Z77" s="356">
        <f t="shared" ref="Z77" si="11">Z71*44.0095/12.0107</f>
        <v>423.7225386658717</v>
      </c>
      <c r="AA77" s="350">
        <f t="shared" si="10"/>
        <v>24.078970061219223</v>
      </c>
      <c r="AB77" s="350">
        <f t="shared" ref="AB77" si="12">AB71*44.0095/12.0107</f>
        <v>17.675283041490644</v>
      </c>
      <c r="AC77">
        <f t="shared" ref="AC77:AD79" si="13">Y77/AA77</f>
        <v>27.565217391304351</v>
      </c>
      <c r="AD77">
        <f t="shared" si="13"/>
        <v>23.972602739726032</v>
      </c>
    </row>
    <row r="78" spans="1:34" customFormat="1" x14ac:dyDescent="0.3">
      <c r="A78" s="355" t="s">
        <v>1106</v>
      </c>
      <c r="B78" s="355">
        <v>0.35</v>
      </c>
      <c r="C78" s="355"/>
      <c r="D78" s="355">
        <v>15</v>
      </c>
      <c r="E78" s="355">
        <v>225</v>
      </c>
      <c r="F78" s="355">
        <f t="shared" si="2"/>
        <v>240</v>
      </c>
      <c r="G78" s="355"/>
      <c r="H78" s="355"/>
      <c r="I78" s="355"/>
      <c r="J78" s="355">
        <v>43</v>
      </c>
      <c r="K78" s="355">
        <v>643</v>
      </c>
      <c r="L78" s="355"/>
      <c r="M78" s="355"/>
      <c r="N78" s="355">
        <v>4.3</v>
      </c>
      <c r="O78" s="355"/>
      <c r="P78" t="s">
        <v>1106</v>
      </c>
      <c r="Q78">
        <f t="shared" si="4"/>
        <v>686</v>
      </c>
      <c r="S78" s="350">
        <f t="shared" si="6"/>
        <v>12.285714285714286</v>
      </c>
      <c r="X78" s="350" t="s">
        <v>1104</v>
      </c>
      <c r="Y78" s="356">
        <f t="shared" si="10"/>
        <v>300.46366989434426</v>
      </c>
      <c r="Z78" s="356">
        <f t="shared" ref="Z78" si="14">Z72*44.0095/12.0107</f>
        <v>458.02388703406132</v>
      </c>
      <c r="AA78" s="350">
        <f t="shared" si="10"/>
        <v>15.572812159158085</v>
      </c>
      <c r="AB78" s="350">
        <f t="shared" ref="AB78" si="15">AB72*44.0095/12.0107</f>
        <v>11.128284070160896</v>
      </c>
      <c r="AC78">
        <f t="shared" si="13"/>
        <v>19.294117647058826</v>
      </c>
      <c r="AD78">
        <f t="shared" si="13"/>
        <v>41.158536585365859</v>
      </c>
    </row>
    <row r="79" spans="1:34" customFormat="1" x14ac:dyDescent="0.3">
      <c r="A79" s="355" t="s">
        <v>1113</v>
      </c>
      <c r="B79" s="355"/>
      <c r="C79" s="355">
        <v>1.55</v>
      </c>
      <c r="D79" s="355"/>
      <c r="E79" s="355"/>
      <c r="F79" s="355"/>
      <c r="G79" s="355"/>
      <c r="H79" s="355"/>
      <c r="I79" s="355"/>
      <c r="J79" s="355"/>
      <c r="K79" s="355"/>
      <c r="L79" s="355"/>
      <c r="M79" s="355"/>
      <c r="N79" s="355"/>
      <c r="O79" s="355"/>
      <c r="P79" t="s">
        <v>1113</v>
      </c>
      <c r="X79" t="s">
        <v>1106</v>
      </c>
      <c r="Y79" s="356">
        <f t="shared" si="10"/>
        <v>2513.6350920429286</v>
      </c>
      <c r="Z79" s="360">
        <f>Y79</f>
        <v>2513.6350920429286</v>
      </c>
      <c r="AA79" s="350">
        <f t="shared" si="10"/>
        <v>45.01720489706203</v>
      </c>
      <c r="AB79" s="360">
        <f>Z79</f>
        <v>2513.6350920429286</v>
      </c>
      <c r="AC79">
        <f t="shared" si="13"/>
        <v>55.837209302325583</v>
      </c>
      <c r="AD79" s="362">
        <f>AC79</f>
        <v>55.837209302325583</v>
      </c>
    </row>
    <row r="80" spans="1:34" customFormat="1" x14ac:dyDescent="0.3">
      <c r="A80" s="352" t="s">
        <v>1098</v>
      </c>
      <c r="B80" s="352">
        <f>SUM(B70:B78)</f>
        <v>15.119999999999997</v>
      </c>
      <c r="C80" s="352">
        <f t="shared" ref="C80:I80" si="16">SUM(C70:C79)</f>
        <v>14.93</v>
      </c>
      <c r="D80" s="352">
        <f t="shared" si="16"/>
        <v>466</v>
      </c>
      <c r="E80" s="352">
        <f t="shared" si="16"/>
        <v>2011</v>
      </c>
      <c r="F80" s="352">
        <f t="shared" si="16"/>
        <v>2477</v>
      </c>
      <c r="G80" s="352">
        <f t="shared" si="16"/>
        <v>654</v>
      </c>
      <c r="H80" s="353">
        <f t="shared" si="16"/>
        <v>1566</v>
      </c>
      <c r="I80" s="353">
        <f t="shared" si="16"/>
        <v>2220</v>
      </c>
      <c r="J80" s="352"/>
      <c r="K80" s="352"/>
      <c r="L80" s="352"/>
      <c r="M80" s="352"/>
      <c r="N80" s="352">
        <f>SUM(N70:N79)</f>
        <v>59.899999999999984</v>
      </c>
      <c r="O80" s="352">
        <f>SUM(O70:O79)</f>
        <v>62.6</v>
      </c>
      <c r="Y80" s="356" t="s">
        <v>1114</v>
      </c>
      <c r="Z80" s="349"/>
      <c r="AA80" s="349"/>
      <c r="AB80" s="349"/>
      <c r="AC80" s="349"/>
      <c r="AD80" s="349"/>
      <c r="AE80" s="349"/>
      <c r="AF80" s="349"/>
      <c r="AG80" s="349"/>
      <c r="AH80" s="349"/>
    </row>
    <row r="81" spans="1:30" customFormat="1" x14ac:dyDescent="0.3">
      <c r="H81" s="353" t="s">
        <v>1115</v>
      </c>
      <c r="I81" s="353"/>
      <c r="Z81" s="361" t="s">
        <v>1170</v>
      </c>
      <c r="AA81" s="361"/>
      <c r="AB81" s="361"/>
      <c r="AC81" s="361"/>
      <c r="AD81" s="361"/>
    </row>
    <row r="82" spans="1:30" customFormat="1" x14ac:dyDescent="0.3">
      <c r="AA82" t="s">
        <v>1201</v>
      </c>
      <c r="AB82" s="7"/>
      <c r="AC82">
        <f>(AC76*(F70+F71+F72)+AC77*(F73+F74)+AC78*F77+AC79*F78)/(F70+F71+F72+F73+F74+F77+F78)</f>
        <v>41.622232847524494</v>
      </c>
      <c r="AD82">
        <f>(AD76*(I70+I71+I72)+AD77*(I73+I74)+AD78*I77)/(I70+I71+I72+I73+I74+I77)</f>
        <v>34.491754546567797</v>
      </c>
    </row>
    <row r="83" spans="1:30" customFormat="1" x14ac:dyDescent="0.3">
      <c r="AA83" t="s">
        <v>1216</v>
      </c>
      <c r="AB83" s="7"/>
      <c r="AC83">
        <f>(AC77*(F73+F74)+AC78*F77)/(F73+F74+F77)</f>
        <v>26.148859134446621</v>
      </c>
      <c r="AD83">
        <f>(+AD77*(I73+I74)+AD78*I77)/(I73+I74+I77)</f>
        <v>28.157650030667142</v>
      </c>
    </row>
    <row r="84" spans="1:30" customFormat="1" x14ac:dyDescent="0.3">
      <c r="A84" s="354" t="s">
        <v>1116</v>
      </c>
      <c r="B84" s="355"/>
      <c r="C84" s="355"/>
      <c r="D84" s="355"/>
      <c r="E84" s="355"/>
      <c r="F84" s="355"/>
      <c r="G84" s="355"/>
    </row>
    <row r="85" spans="1:30" customFormat="1" x14ac:dyDescent="0.3">
      <c r="A85" s="355" t="s">
        <v>1117</v>
      </c>
      <c r="B85" s="355"/>
      <c r="C85" s="355"/>
      <c r="D85" s="355"/>
      <c r="E85" s="355"/>
      <c r="F85" s="355"/>
      <c r="G85" s="355"/>
    </row>
    <row r="86" spans="1:30" customFormat="1" x14ac:dyDescent="0.3">
      <c r="A86" s="355"/>
      <c r="B86" s="355" t="s">
        <v>1081</v>
      </c>
      <c r="C86" s="355" t="s">
        <v>1078</v>
      </c>
      <c r="D86" s="355" t="s">
        <v>1118</v>
      </c>
      <c r="E86" s="355" t="s">
        <v>1119</v>
      </c>
      <c r="F86" s="355" t="s">
        <v>1120</v>
      </c>
      <c r="G86" s="355" t="s">
        <v>1121</v>
      </c>
      <c r="Q86" t="s">
        <v>1082</v>
      </c>
      <c r="S86" t="s">
        <v>1083</v>
      </c>
      <c r="U86" t="s">
        <v>1121</v>
      </c>
      <c r="Y86" t="s">
        <v>1084</v>
      </c>
      <c r="AA86" t="s">
        <v>1083</v>
      </c>
      <c r="AC86" t="s">
        <v>1169</v>
      </c>
    </row>
    <row r="87" spans="1:30" customFormat="1" x14ac:dyDescent="0.3">
      <c r="A87" s="355" t="s">
        <v>1122</v>
      </c>
      <c r="B87" s="355" t="s">
        <v>1089</v>
      </c>
      <c r="C87" s="355" t="s">
        <v>1085</v>
      </c>
      <c r="D87" s="355" t="s">
        <v>1086</v>
      </c>
      <c r="E87" s="355" t="s">
        <v>1088</v>
      </c>
      <c r="F87" s="355" t="s">
        <v>1088</v>
      </c>
      <c r="G87" s="355" t="s">
        <v>1089</v>
      </c>
      <c r="Q87" t="s">
        <v>1087</v>
      </c>
      <c r="S87" t="s">
        <v>1089</v>
      </c>
      <c r="U87" t="s">
        <v>1089</v>
      </c>
      <c r="Y87" t="s">
        <v>1087</v>
      </c>
      <c r="AA87" t="s">
        <v>1089</v>
      </c>
      <c r="AC87" t="s">
        <v>792</v>
      </c>
    </row>
    <row r="88" spans="1:30" customFormat="1" x14ac:dyDescent="0.3">
      <c r="A88" s="355" t="s">
        <v>1099</v>
      </c>
      <c r="B88" s="355">
        <v>12.5</v>
      </c>
      <c r="C88" s="355">
        <v>1.75</v>
      </c>
      <c r="D88" s="355">
        <v>553</v>
      </c>
      <c r="E88" s="355">
        <v>21.9</v>
      </c>
      <c r="F88" s="355">
        <v>0.66</v>
      </c>
      <c r="G88" s="355">
        <v>0.37</v>
      </c>
      <c r="P88" t="s">
        <v>1099</v>
      </c>
      <c r="Q88" s="351">
        <f>D88/C88</f>
        <v>316</v>
      </c>
      <c r="R88" s="328"/>
      <c r="S88" s="328">
        <f>B88</f>
        <v>12.5</v>
      </c>
      <c r="T88" s="328"/>
      <c r="U88">
        <f>G88</f>
        <v>0.37</v>
      </c>
      <c r="Y88" s="328"/>
      <c r="Z88" s="328"/>
      <c r="AA88" s="328"/>
      <c r="AB88" s="328"/>
    </row>
    <row r="89" spans="1:30" customFormat="1" x14ac:dyDescent="0.3">
      <c r="A89" s="355" t="s">
        <v>1101</v>
      </c>
      <c r="B89" s="355">
        <v>7.7</v>
      </c>
      <c r="C89" s="355">
        <v>1.04</v>
      </c>
      <c r="D89" s="355">
        <v>292</v>
      </c>
      <c r="E89" s="355">
        <v>8.1</v>
      </c>
      <c r="F89" s="355">
        <v>0.35</v>
      </c>
      <c r="G89" s="355">
        <v>0.34</v>
      </c>
      <c r="P89" t="s">
        <v>1101</v>
      </c>
      <c r="Q89" s="351">
        <f t="shared" ref="Q89:Q97" si="17">D89/C89</f>
        <v>280.76923076923077</v>
      </c>
      <c r="S89" s="328">
        <f t="shared" ref="S89:S97" si="18">B89</f>
        <v>7.7</v>
      </c>
      <c r="U89">
        <f t="shared" ref="U89:U97" si="19">G89</f>
        <v>0.34</v>
      </c>
    </row>
    <row r="90" spans="1:30" customFormat="1" x14ac:dyDescent="0.3">
      <c r="A90" s="355" t="s">
        <v>1103</v>
      </c>
      <c r="B90" s="355">
        <v>1.9</v>
      </c>
      <c r="C90" s="355">
        <v>1.37</v>
      </c>
      <c r="D90" s="355">
        <v>395</v>
      </c>
      <c r="E90" s="355">
        <v>2.6</v>
      </c>
      <c r="F90" s="355">
        <v>0.47</v>
      </c>
      <c r="G90" s="355">
        <v>0.34</v>
      </c>
      <c r="P90" t="s">
        <v>1103</v>
      </c>
      <c r="Q90" s="351">
        <f t="shared" si="17"/>
        <v>288.32116788321167</v>
      </c>
      <c r="S90" s="328">
        <f t="shared" si="18"/>
        <v>1.9</v>
      </c>
      <c r="U90">
        <f t="shared" si="19"/>
        <v>0.34</v>
      </c>
      <c r="X90" s="350" t="s">
        <v>1100</v>
      </c>
      <c r="Y90" s="350">
        <f>(D88+D89+D90)/(C88+C89+C90)</f>
        <v>298.07692307692309</v>
      </c>
      <c r="Z90" s="350"/>
      <c r="AA90" s="350">
        <f>(E88+E89+E90)/(C88+C89+C90)</f>
        <v>7.8365384615384617</v>
      </c>
      <c r="AB90" s="350"/>
      <c r="AC90">
        <f>Y90/AA90</f>
        <v>38.036809815950924</v>
      </c>
    </row>
    <row r="91" spans="1:30" customFormat="1" x14ac:dyDescent="0.3">
      <c r="A91" s="355" t="s">
        <v>1123</v>
      </c>
      <c r="B91" s="355">
        <v>0.9</v>
      </c>
      <c r="C91" s="355">
        <v>0.56000000000000005</v>
      </c>
      <c r="D91" s="355">
        <v>117</v>
      </c>
      <c r="E91" s="355">
        <v>0.5</v>
      </c>
      <c r="F91" s="355">
        <v>0.14000000000000001</v>
      </c>
      <c r="G91" s="355">
        <v>0.25</v>
      </c>
      <c r="P91" t="s">
        <v>1123</v>
      </c>
      <c r="Q91" s="351">
        <f t="shared" si="17"/>
        <v>208.92857142857142</v>
      </c>
      <c r="S91" s="328">
        <f t="shared" si="18"/>
        <v>0.9</v>
      </c>
      <c r="U91">
        <f t="shared" si="19"/>
        <v>0.25</v>
      </c>
      <c r="X91" s="350" t="s">
        <v>1102</v>
      </c>
      <c r="Y91" s="350">
        <f>(D94+D95+D92)/(C95+C94+C92)</f>
        <v>131.27753303964758</v>
      </c>
      <c r="Z91" s="350"/>
      <c r="AA91" s="350">
        <f>(E92+E94+E95)/(C92+C94+C95)</f>
        <v>5.9251101321585899</v>
      </c>
      <c r="AB91" s="350"/>
      <c r="AC91">
        <f t="shared" ref="AC91:AC92" si="20">Y91/AA91</f>
        <v>22.156133828996285</v>
      </c>
    </row>
    <row r="92" spans="1:30" customFormat="1" x14ac:dyDescent="0.3">
      <c r="A92" s="355" t="s">
        <v>1124</v>
      </c>
      <c r="B92" s="355">
        <v>5</v>
      </c>
      <c r="C92" s="355">
        <v>0.28000000000000003</v>
      </c>
      <c r="D92" s="355">
        <v>88</v>
      </c>
      <c r="E92" s="355">
        <v>1.4</v>
      </c>
      <c r="F92" s="355">
        <v>0.11</v>
      </c>
      <c r="G92" s="355">
        <v>0.38</v>
      </c>
      <c r="P92" t="s">
        <v>1124</v>
      </c>
      <c r="Q92" s="351">
        <f t="shared" si="17"/>
        <v>314.28571428571428</v>
      </c>
      <c r="S92" s="328">
        <f t="shared" si="18"/>
        <v>5</v>
      </c>
      <c r="U92">
        <f t="shared" si="19"/>
        <v>0.38</v>
      </c>
      <c r="X92" s="350" t="s">
        <v>1104</v>
      </c>
      <c r="Y92" s="350">
        <f>Q93</f>
        <v>11.111111111111111</v>
      </c>
      <c r="Z92" s="350"/>
      <c r="AA92" s="350">
        <f>S93</f>
        <v>3.1</v>
      </c>
      <c r="AB92" s="350"/>
      <c r="AC92">
        <f t="shared" si="20"/>
        <v>3.5842293906810032</v>
      </c>
    </row>
    <row r="93" spans="1:30" customFormat="1" x14ac:dyDescent="0.3">
      <c r="A93" s="355" t="s">
        <v>1125</v>
      </c>
      <c r="B93" s="355">
        <v>3.1</v>
      </c>
      <c r="C93" s="355">
        <v>1.35</v>
      </c>
      <c r="D93" s="355">
        <v>15</v>
      </c>
      <c r="E93" s="355">
        <v>4.0999999999999996</v>
      </c>
      <c r="F93" s="355">
        <v>0.02</v>
      </c>
      <c r="G93" s="355">
        <v>0.01</v>
      </c>
      <c r="P93" t="s">
        <v>1125</v>
      </c>
      <c r="Q93" s="351">
        <f>D93/C93</f>
        <v>11.111111111111111</v>
      </c>
      <c r="S93" s="328">
        <f t="shared" si="18"/>
        <v>3.1</v>
      </c>
      <c r="U93">
        <f t="shared" si="19"/>
        <v>0.01</v>
      </c>
      <c r="X93" t="s">
        <v>1106</v>
      </c>
      <c r="AB93" s="350"/>
    </row>
    <row r="94" spans="1:30" customFormat="1" x14ac:dyDescent="0.3">
      <c r="A94" s="355" t="s">
        <v>1126</v>
      </c>
      <c r="B94" s="355">
        <v>7.2</v>
      </c>
      <c r="C94" s="355">
        <v>2.76</v>
      </c>
      <c r="D94" s="355">
        <v>326</v>
      </c>
      <c r="E94" s="355">
        <v>19.899999999999999</v>
      </c>
      <c r="F94" s="355">
        <v>0.39</v>
      </c>
      <c r="G94" s="355">
        <v>0.14000000000000001</v>
      </c>
      <c r="P94" t="s">
        <v>1126</v>
      </c>
      <c r="Q94" s="351">
        <f t="shared" si="17"/>
        <v>118.11594202898551</v>
      </c>
      <c r="S94" s="328">
        <f t="shared" si="18"/>
        <v>7.2</v>
      </c>
      <c r="U94">
        <f t="shared" si="19"/>
        <v>0.14000000000000001</v>
      </c>
      <c r="AB94" s="350"/>
    </row>
    <row r="95" spans="1:30" customFormat="1" x14ac:dyDescent="0.3">
      <c r="A95" s="355" t="s">
        <v>1127</v>
      </c>
      <c r="B95" s="355">
        <v>3.8</v>
      </c>
      <c r="C95" s="355">
        <v>1.5</v>
      </c>
      <c r="D95" s="355">
        <v>182</v>
      </c>
      <c r="E95" s="355">
        <v>5.6</v>
      </c>
      <c r="F95" s="355">
        <v>0.21</v>
      </c>
      <c r="G95" s="355">
        <v>0.14000000000000001</v>
      </c>
      <c r="P95" t="s">
        <v>1127</v>
      </c>
      <c r="Q95" s="351">
        <f t="shared" si="17"/>
        <v>121.33333333333333</v>
      </c>
      <c r="S95" s="328">
        <f t="shared" si="18"/>
        <v>3.8</v>
      </c>
      <c r="U95">
        <f t="shared" si="19"/>
        <v>0.14000000000000001</v>
      </c>
      <c r="X95" s="350" t="s">
        <v>1109</v>
      </c>
      <c r="Y95" s="349" t="s">
        <v>1110</v>
      </c>
      <c r="AB95" s="350"/>
    </row>
    <row r="96" spans="1:30" customFormat="1" x14ac:dyDescent="0.3">
      <c r="A96" s="355" t="s">
        <v>1128</v>
      </c>
      <c r="B96" s="355">
        <v>1.2</v>
      </c>
      <c r="C96" s="355">
        <v>2.77</v>
      </c>
      <c r="D96" s="355">
        <v>169</v>
      </c>
      <c r="E96" s="355">
        <v>3.5</v>
      </c>
      <c r="F96" s="355">
        <v>0.2</v>
      </c>
      <c r="G96" s="355">
        <v>7.0000000000000007E-2</v>
      </c>
      <c r="P96" t="s">
        <v>1128</v>
      </c>
      <c r="Q96" s="351">
        <f t="shared" si="17"/>
        <v>61.010830324909747</v>
      </c>
      <c r="S96" s="328">
        <f t="shared" si="18"/>
        <v>1.2</v>
      </c>
      <c r="U96">
        <f t="shared" si="19"/>
        <v>7.0000000000000007E-2</v>
      </c>
      <c r="X96" s="350" t="s">
        <v>1100</v>
      </c>
      <c r="Y96" s="356">
        <f>Y90*44.0095/12.0107</f>
        <v>1092.2108075427616</v>
      </c>
      <c r="AA96" s="350"/>
      <c r="AB96" s="350"/>
    </row>
    <row r="97" spans="1:28" customFormat="1" x14ac:dyDescent="0.3">
      <c r="A97" s="355" t="s">
        <v>1129</v>
      </c>
      <c r="B97" s="355"/>
      <c r="C97" s="355">
        <v>1.53</v>
      </c>
      <c r="D97" s="355"/>
      <c r="E97" s="355"/>
      <c r="F97" s="355"/>
      <c r="G97" s="355"/>
      <c r="P97" t="s">
        <v>1129</v>
      </c>
      <c r="Q97" s="351">
        <f t="shared" si="17"/>
        <v>0</v>
      </c>
      <c r="S97" s="328">
        <f t="shared" si="18"/>
        <v>0</v>
      </c>
      <c r="U97">
        <f t="shared" si="19"/>
        <v>0</v>
      </c>
      <c r="X97" s="350" t="s">
        <v>1102</v>
      </c>
      <c r="Y97" s="356">
        <f t="shared" ref="Y97" si="21">Y91*44.0095/12.0107</f>
        <v>481.02596770449441</v>
      </c>
      <c r="AB97" s="350"/>
    </row>
    <row r="98" spans="1:28" customFormat="1" x14ac:dyDescent="0.3">
      <c r="A98" s="352" t="s">
        <v>1098</v>
      </c>
      <c r="B98" s="352"/>
      <c r="C98" s="352">
        <f>SUM(C88:C97)</f>
        <v>14.91</v>
      </c>
      <c r="D98" s="352">
        <f>SUM(D88:D97)</f>
        <v>2137</v>
      </c>
      <c r="E98" s="352">
        <f>SUM(E88:E97)</f>
        <v>67.599999999999994</v>
      </c>
      <c r="F98" s="352">
        <f>SUM(F88:F97)</f>
        <v>2.5500000000000003</v>
      </c>
      <c r="G98" s="352"/>
      <c r="X98" s="350" t="s">
        <v>1104</v>
      </c>
      <c r="Y98" s="356">
        <f t="shared" ref="Y98" si="22">Y92*44.0095/12.0107</f>
        <v>40.71323440302767</v>
      </c>
    </row>
    <row r="99" spans="1:28" customFormat="1" x14ac:dyDescent="0.3">
      <c r="A99" s="328"/>
      <c r="B99" s="328"/>
      <c r="C99" s="328"/>
      <c r="D99" s="328"/>
      <c r="E99" s="328"/>
      <c r="F99" s="328"/>
      <c r="G99" s="328"/>
      <c r="H99" s="328"/>
      <c r="X99" s="350"/>
      <c r="Y99" s="356"/>
    </row>
    <row r="100" spans="1:28" customFormat="1" x14ac:dyDescent="0.3">
      <c r="A100" s="354" t="s">
        <v>1205</v>
      </c>
      <c r="B100" s="355"/>
      <c r="C100" s="355"/>
      <c r="D100" s="355"/>
      <c r="E100" s="328"/>
      <c r="F100" s="328"/>
      <c r="G100" s="328"/>
      <c r="H100" s="328"/>
      <c r="X100" s="350"/>
      <c r="Y100" s="356"/>
    </row>
    <row r="101" spans="1:28" customFormat="1" x14ac:dyDescent="0.3">
      <c r="A101" s="355" t="s">
        <v>1206</v>
      </c>
      <c r="B101" s="355"/>
      <c r="C101" s="355"/>
      <c r="D101" s="355"/>
      <c r="E101" s="328"/>
      <c r="F101" s="328"/>
      <c r="G101" s="328" t="s">
        <v>1213</v>
      </c>
      <c r="H101" s="328"/>
      <c r="X101" s="350"/>
      <c r="Y101" s="356"/>
    </row>
    <row r="102" spans="1:28" customFormat="1" x14ac:dyDescent="0.3">
      <c r="A102" s="355"/>
      <c r="B102" s="355" t="s">
        <v>1078</v>
      </c>
      <c r="C102" s="355" t="s">
        <v>1207</v>
      </c>
      <c r="D102" s="355" t="s">
        <v>1208</v>
      </c>
      <c r="E102" s="328"/>
      <c r="F102" s="328"/>
      <c r="G102" s="328" t="s">
        <v>792</v>
      </c>
      <c r="H102" s="328" t="s">
        <v>792</v>
      </c>
      <c r="X102" s="350"/>
      <c r="Y102" s="356"/>
    </row>
    <row r="103" spans="1:28" customFormat="1" x14ac:dyDescent="0.3">
      <c r="A103" s="355"/>
      <c r="B103" s="355" t="s">
        <v>1085</v>
      </c>
      <c r="C103" s="355" t="s">
        <v>1088</v>
      </c>
      <c r="D103" s="355" t="s">
        <v>1089</v>
      </c>
      <c r="E103" s="328"/>
      <c r="F103" s="328"/>
      <c r="G103" s="328" t="s">
        <v>1090</v>
      </c>
      <c r="H103" s="328" t="s">
        <v>1214</v>
      </c>
      <c r="X103" s="350"/>
      <c r="Y103" s="356"/>
    </row>
    <row r="104" spans="1:28" customFormat="1" x14ac:dyDescent="0.3">
      <c r="A104" s="355" t="s">
        <v>1209</v>
      </c>
      <c r="B104" s="355">
        <v>1.135</v>
      </c>
      <c r="C104" s="355">
        <v>0.5</v>
      </c>
      <c r="D104" s="355">
        <v>0.44052863436123346</v>
      </c>
      <c r="E104" s="328"/>
      <c r="F104" s="328"/>
      <c r="G104" s="328"/>
      <c r="H104" s="328"/>
      <c r="X104" s="350"/>
      <c r="Y104" s="356"/>
    </row>
    <row r="105" spans="1:28" customFormat="1" x14ac:dyDescent="0.3">
      <c r="A105" s="355" t="s">
        <v>1210</v>
      </c>
      <c r="B105" s="355">
        <v>0.76700000000000002</v>
      </c>
      <c r="C105" s="355">
        <v>0.72</v>
      </c>
      <c r="D105" s="355">
        <v>0.93872229465449797</v>
      </c>
      <c r="E105" s="328"/>
      <c r="F105" s="328"/>
      <c r="G105" s="328"/>
      <c r="H105" s="328"/>
      <c r="X105" s="350"/>
      <c r="Y105" s="356"/>
    </row>
    <row r="106" spans="1:28" customFormat="1" x14ac:dyDescent="0.3">
      <c r="A106" s="355" t="s">
        <v>1211</v>
      </c>
      <c r="B106" s="355">
        <v>1.3919999999999999</v>
      </c>
      <c r="C106" s="355">
        <v>1.19</v>
      </c>
      <c r="D106" s="355">
        <v>0.85488505747126442</v>
      </c>
      <c r="E106" s="328"/>
      <c r="F106" s="328"/>
      <c r="G106" s="328"/>
      <c r="H106" s="328"/>
      <c r="X106" s="350"/>
      <c r="Y106" s="356"/>
    </row>
    <row r="107" spans="1:28" customFormat="1" x14ac:dyDescent="0.3">
      <c r="A107" s="355" t="s">
        <v>1212</v>
      </c>
      <c r="B107" s="355">
        <v>0.55700000000000005</v>
      </c>
      <c r="C107" s="355">
        <v>1.64</v>
      </c>
      <c r="D107" s="355">
        <v>2.9443447037701969</v>
      </c>
      <c r="E107" s="328"/>
      <c r="F107" s="328"/>
      <c r="G107" s="328">
        <f>Q70/D107</f>
        <v>82.531097560975624</v>
      </c>
      <c r="H107" s="328">
        <f>R70/D107</f>
        <v>107.32439024390246</v>
      </c>
      <c r="X107" s="350"/>
      <c r="Y107" s="356"/>
    </row>
    <row r="108" spans="1:28" customFormat="1" x14ac:dyDescent="0.3">
      <c r="A108" s="365" t="s">
        <v>1098</v>
      </c>
      <c r="B108" s="365">
        <v>3.851</v>
      </c>
      <c r="C108" s="365">
        <v>4.05</v>
      </c>
      <c r="D108" s="365"/>
      <c r="E108" s="328"/>
      <c r="F108" s="328"/>
      <c r="G108" s="328"/>
      <c r="H108" s="328"/>
      <c r="X108" s="350"/>
      <c r="Y108" s="356"/>
    </row>
    <row r="109" spans="1:28" customFormat="1" x14ac:dyDescent="0.3">
      <c r="A109" s="328"/>
      <c r="B109" s="328"/>
      <c r="C109" s="328"/>
      <c r="D109" s="328"/>
      <c r="E109" s="328"/>
      <c r="F109" s="328"/>
      <c r="G109" s="328"/>
      <c r="H109" s="328"/>
      <c r="X109" s="350"/>
      <c r="Y109" s="356"/>
    </row>
    <row r="110" spans="1:28" customFormat="1" x14ac:dyDescent="0.3">
      <c r="A110" s="328"/>
      <c r="B110" s="328"/>
      <c r="C110" s="328"/>
      <c r="D110" s="328"/>
      <c r="E110" s="328"/>
      <c r="F110" s="328"/>
      <c r="G110" s="328"/>
      <c r="H110" s="328"/>
      <c r="X110" s="350"/>
      <c r="Y110" s="356"/>
    </row>
    <row r="111" spans="1:28" customFormat="1" x14ac:dyDescent="0.3">
      <c r="X111" t="s">
        <v>1106</v>
      </c>
      <c r="Y111" s="360">
        <f>Y79</f>
        <v>2513.6350920429286</v>
      </c>
      <c r="Z111" s="350"/>
      <c r="AA111" s="350"/>
      <c r="AB111" s="350"/>
    </row>
    <row r="112" spans="1:28" ht="21" x14ac:dyDescent="0.4">
      <c r="A112" s="16" t="s">
        <v>506</v>
      </c>
    </row>
    <row r="113" spans="1:57" x14ac:dyDescent="0.3">
      <c r="A113" t="s">
        <v>507</v>
      </c>
      <c r="B113" t="s">
        <v>7</v>
      </c>
      <c r="C113"/>
      <c r="D113"/>
      <c r="E113" t="s">
        <v>508</v>
      </c>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s="23"/>
      <c r="BD113"/>
      <c r="BE113"/>
    </row>
    <row r="114" spans="1:57" x14ac:dyDescent="0.3">
      <c r="A114"/>
      <c r="B114" t="s">
        <v>509</v>
      </c>
      <c r="C114"/>
      <c r="D114"/>
      <c r="E114" t="s">
        <v>510</v>
      </c>
      <c r="F114"/>
      <c r="G114"/>
      <c r="H114" t="s">
        <v>511</v>
      </c>
      <c r="I114"/>
      <c r="J114"/>
      <c r="K114" t="s">
        <v>512</v>
      </c>
      <c r="L114"/>
      <c r="M114"/>
      <c r="N114" t="s">
        <v>513</v>
      </c>
      <c r="O114"/>
      <c r="P114"/>
      <c r="Q114" t="s">
        <v>514</v>
      </c>
      <c r="R114"/>
      <c r="S114"/>
      <c r="T114" t="s">
        <v>515</v>
      </c>
      <c r="U114"/>
      <c r="V114"/>
      <c r="W114" t="s">
        <v>516</v>
      </c>
      <c r="X114"/>
      <c r="Y114"/>
      <c r="Z114" t="s">
        <v>517</v>
      </c>
      <c r="AA114"/>
      <c r="AB114"/>
      <c r="AC114" t="s">
        <v>518</v>
      </c>
      <c r="AD114"/>
      <c r="AE114"/>
      <c r="AF114" t="s">
        <v>519</v>
      </c>
      <c r="AG114"/>
      <c r="AH114"/>
      <c r="AI114" t="s">
        <v>520</v>
      </c>
      <c r="AJ114"/>
      <c r="AK114"/>
      <c r="AL114" t="s">
        <v>521</v>
      </c>
      <c r="AM114"/>
      <c r="AN114"/>
      <c r="AO114" t="s">
        <v>522</v>
      </c>
      <c r="AP114"/>
      <c r="AQ114"/>
      <c r="AR114"/>
      <c r="AS114" t="s">
        <v>523</v>
      </c>
      <c r="AT114"/>
      <c r="AU114"/>
      <c r="AV114" t="s">
        <v>524</v>
      </c>
      <c r="AW114"/>
      <c r="AX114"/>
      <c r="AY114"/>
      <c r="AZ114" t="s">
        <v>525</v>
      </c>
      <c r="BA114" t="s">
        <v>173</v>
      </c>
      <c r="BB114"/>
      <c r="BC114" s="23"/>
      <c r="BD114" t="s">
        <v>526</v>
      </c>
      <c r="BE114"/>
    </row>
    <row r="115" spans="1:57" x14ac:dyDescent="0.3">
      <c r="A115"/>
      <c r="B115" t="s">
        <v>527</v>
      </c>
      <c r="C115" t="s">
        <v>528</v>
      </c>
      <c r="D115" t="s">
        <v>529</v>
      </c>
      <c r="E115" t="s">
        <v>527</v>
      </c>
      <c r="F115" t="s">
        <v>528</v>
      </c>
      <c r="G115" t="s">
        <v>529</v>
      </c>
      <c r="H115" t="s">
        <v>527</v>
      </c>
      <c r="I115" t="s">
        <v>528</v>
      </c>
      <c r="J115" t="s">
        <v>529</v>
      </c>
      <c r="K115" t="s">
        <v>527</v>
      </c>
      <c r="L115" t="s">
        <v>528</v>
      </c>
      <c r="M115" t="s">
        <v>529</v>
      </c>
      <c r="N115" t="s">
        <v>527</v>
      </c>
      <c r="O115" t="s">
        <v>528</v>
      </c>
      <c r="P115" t="s">
        <v>529</v>
      </c>
      <c r="Q115" t="s">
        <v>527</v>
      </c>
      <c r="R115" t="s">
        <v>528</v>
      </c>
      <c r="S115" t="s">
        <v>529</v>
      </c>
      <c r="T115" t="s">
        <v>527</v>
      </c>
      <c r="U115" t="s">
        <v>528</v>
      </c>
      <c r="V115" t="s">
        <v>529</v>
      </c>
      <c r="W115" t="s">
        <v>527</v>
      </c>
      <c r="X115" t="s">
        <v>528</v>
      </c>
      <c r="Y115" t="s">
        <v>529</v>
      </c>
      <c r="Z115" t="s">
        <v>527</v>
      </c>
      <c r="AA115" t="s">
        <v>528</v>
      </c>
      <c r="AB115" t="s">
        <v>529</v>
      </c>
      <c r="AC115" t="s">
        <v>527</v>
      </c>
      <c r="AD115" t="s">
        <v>528</v>
      </c>
      <c r="AE115" t="s">
        <v>529</v>
      </c>
      <c r="AF115" t="s">
        <v>527</v>
      </c>
      <c r="AG115" t="s">
        <v>528</v>
      </c>
      <c r="AH115" t="s">
        <v>529</v>
      </c>
      <c r="AI115" t="s">
        <v>527</v>
      </c>
      <c r="AJ115" t="s">
        <v>528</v>
      </c>
      <c r="AK115" t="s">
        <v>529</v>
      </c>
      <c r="AL115" t="s">
        <v>527</v>
      </c>
      <c r="AM115" t="s">
        <v>528</v>
      </c>
      <c r="AN115" t="s">
        <v>529</v>
      </c>
      <c r="AO115" t="s">
        <v>527</v>
      </c>
      <c r="AP115" t="s">
        <v>528</v>
      </c>
      <c r="AQ115" t="s">
        <v>529</v>
      </c>
      <c r="AR115"/>
      <c r="AS115"/>
      <c r="AT115"/>
      <c r="AU115"/>
      <c r="AV115"/>
      <c r="AW115"/>
      <c r="AX115"/>
      <c r="AY115"/>
      <c r="AZ115" t="s">
        <v>530</v>
      </c>
      <c r="BA115" t="s">
        <v>527</v>
      </c>
      <c r="BB115" t="s">
        <v>528</v>
      </c>
      <c r="BC115" s="23" t="s">
        <v>529</v>
      </c>
      <c r="BD115" t="s">
        <v>531</v>
      </c>
      <c r="BE115"/>
    </row>
    <row r="116" spans="1:57" x14ac:dyDescent="0.3">
      <c r="A116" t="s">
        <v>532</v>
      </c>
      <c r="B116" t="s">
        <v>533</v>
      </c>
      <c r="C116" t="s">
        <v>533</v>
      </c>
      <c r="D116" t="s">
        <v>533</v>
      </c>
      <c r="E116" t="s">
        <v>533</v>
      </c>
      <c r="F116" t="s">
        <v>533</v>
      </c>
      <c r="G116" t="s">
        <v>533</v>
      </c>
      <c r="H116" t="s">
        <v>533</v>
      </c>
      <c r="I116" t="s">
        <v>533</v>
      </c>
      <c r="J116" t="s">
        <v>533</v>
      </c>
      <c r="K116" t="s">
        <v>533</v>
      </c>
      <c r="L116" t="s">
        <v>533</v>
      </c>
      <c r="M116" t="s">
        <v>533</v>
      </c>
      <c r="N116" t="s">
        <v>533</v>
      </c>
      <c r="O116" t="s">
        <v>533</v>
      </c>
      <c r="P116" t="s">
        <v>533</v>
      </c>
      <c r="Q116" t="s">
        <v>533</v>
      </c>
      <c r="R116" t="s">
        <v>533</v>
      </c>
      <c r="S116" t="s">
        <v>533</v>
      </c>
      <c r="T116" t="s">
        <v>533</v>
      </c>
      <c r="U116" t="s">
        <v>533</v>
      </c>
      <c r="V116" t="s">
        <v>533</v>
      </c>
      <c r="W116" t="s">
        <v>533</v>
      </c>
      <c r="X116" t="s">
        <v>533</v>
      </c>
      <c r="Y116" t="s">
        <v>533</v>
      </c>
      <c r="Z116" t="s">
        <v>533</v>
      </c>
      <c r="AA116" t="s">
        <v>533</v>
      </c>
      <c r="AB116" t="s">
        <v>533</v>
      </c>
      <c r="AC116" t="s">
        <v>533</v>
      </c>
      <c r="AD116" t="s">
        <v>533</v>
      </c>
      <c r="AE116" t="s">
        <v>533</v>
      </c>
      <c r="AF116" t="s">
        <v>533</v>
      </c>
      <c r="AG116" t="s">
        <v>533</v>
      </c>
      <c r="AH116" t="s">
        <v>533</v>
      </c>
      <c r="AI116" t="s">
        <v>533</v>
      </c>
      <c r="AJ116" t="s">
        <v>533</v>
      </c>
      <c r="AK116" t="s">
        <v>533</v>
      </c>
      <c r="AL116" t="s">
        <v>533</v>
      </c>
      <c r="AM116" t="s">
        <v>533</v>
      </c>
      <c r="AN116" t="s">
        <v>533</v>
      </c>
      <c r="AO116" t="s">
        <v>533</v>
      </c>
      <c r="AP116" t="s">
        <v>533</v>
      </c>
      <c r="AQ116" t="s">
        <v>533</v>
      </c>
      <c r="AR116"/>
      <c r="AS116" t="s">
        <v>533</v>
      </c>
      <c r="AT116" t="s">
        <v>533</v>
      </c>
      <c r="AU116" t="s">
        <v>533</v>
      </c>
      <c r="AV116"/>
      <c r="AW116"/>
      <c r="AX116"/>
      <c r="AY116"/>
      <c r="AZ116" t="s">
        <v>534</v>
      </c>
      <c r="BA116" t="s">
        <v>535</v>
      </c>
      <c r="BB116" t="s">
        <v>535</v>
      </c>
      <c r="BC116" s="23" t="s">
        <v>535</v>
      </c>
      <c r="BD116" t="s">
        <v>535</v>
      </c>
      <c r="BE116"/>
    </row>
    <row r="117" spans="1:57" x14ac:dyDescent="0.3">
      <c r="A117">
        <v>1961</v>
      </c>
      <c r="B117">
        <v>-32499433342182.898</v>
      </c>
      <c r="C117">
        <v>-5466029159849.2002</v>
      </c>
      <c r="D117">
        <v>-37965462502032.102</v>
      </c>
      <c r="E117">
        <v>159778752494092</v>
      </c>
      <c r="F117">
        <v>5543056213165.1504</v>
      </c>
      <c r="G117">
        <v>165321808707257</v>
      </c>
      <c r="H117">
        <v>516606740860157</v>
      </c>
      <c r="I117">
        <v>1190749344211.55</v>
      </c>
      <c r="J117">
        <v>517797490204369</v>
      </c>
      <c r="K117">
        <v>2085076905292500</v>
      </c>
      <c r="L117">
        <v>391548783898521</v>
      </c>
      <c r="M117">
        <v>2476625689191020</v>
      </c>
      <c r="N117">
        <v>99428717003333.297</v>
      </c>
      <c r="O117">
        <v>39456417557274.797</v>
      </c>
      <c r="P117">
        <v>138885134560608</v>
      </c>
      <c r="Q117">
        <v>0</v>
      </c>
      <c r="R117">
        <v>0</v>
      </c>
      <c r="S117">
        <v>0</v>
      </c>
      <c r="T117">
        <v>0</v>
      </c>
      <c r="U117">
        <v>0</v>
      </c>
      <c r="V117">
        <v>0</v>
      </c>
      <c r="W117">
        <v>4027057319767190</v>
      </c>
      <c r="X117">
        <v>506410434094028</v>
      </c>
      <c r="Y117">
        <v>4533467753861220</v>
      </c>
      <c r="Z117">
        <v>4061545082842310</v>
      </c>
      <c r="AA117">
        <v>515005122208848</v>
      </c>
      <c r="AB117">
        <v>4576550205051150</v>
      </c>
      <c r="AC117">
        <v>922134877920096</v>
      </c>
      <c r="AD117">
        <v>67831201892892.703</v>
      </c>
      <c r="AE117">
        <v>989966079812989</v>
      </c>
      <c r="AF117">
        <v>244620658114239</v>
      </c>
      <c r="AG117">
        <v>1020259049687.74</v>
      </c>
      <c r="AH117">
        <v>245640917163927</v>
      </c>
      <c r="AI117">
        <v>405915701941132</v>
      </c>
      <c r="AJ117">
        <v>49594218315917.297</v>
      </c>
      <c r="AK117">
        <v>455509920257049</v>
      </c>
      <c r="AL117">
        <v>407829039813489</v>
      </c>
      <c r="AM117">
        <v>52739236909487.602</v>
      </c>
      <c r="AN117">
        <v>460568276722977</v>
      </c>
      <c r="AO117">
        <v>3608082476676060</v>
      </c>
      <c r="AP117">
        <v>504442874709012</v>
      </c>
      <c r="AQ117">
        <v>4112525351385070</v>
      </c>
      <c r="AR117"/>
      <c r="AS117">
        <f t="shared" ref="AS117:AS173" si="23">+E117+K117+N117+AC117+AF117+H117+AL117+T117-B117-AI117-Q117</f>
        <v>4062059422898957.5</v>
      </c>
      <c r="AT117">
        <f t="shared" ref="AT117:AU136" si="24">+F117+L117+O117+AD117+AG117</f>
        <v>505399718611541.38</v>
      </c>
      <c r="AU117">
        <f t="shared" si="24"/>
        <v>4016439629435801</v>
      </c>
      <c r="AV117">
        <f>AS117/Z117</f>
        <v>1.0001266365499228</v>
      </c>
      <c r="AW117">
        <f t="shared" ref="AW117:AX132" si="25">AT117/AA117</f>
        <v>0.98134891638337651</v>
      </c>
      <c r="AX117">
        <f t="shared" si="25"/>
        <v>0.87761292883946651</v>
      </c>
      <c r="AY117"/>
      <c r="AZ117" s="24">
        <v>3047758680</v>
      </c>
      <c r="BA117">
        <f t="shared" ref="BA117:BC148" si="26">K117/($AZ117*365)</f>
        <v>1874.3411360097559</v>
      </c>
      <c r="BB117">
        <f t="shared" si="26"/>
        <v>351.97550294320655</v>
      </c>
      <c r="BC117" s="23">
        <f t="shared" si="26"/>
        <v>2226.3166389529615</v>
      </c>
      <c r="BD117">
        <v>2196</v>
      </c>
      <c r="BE117"/>
    </row>
    <row r="118" spans="1:57" x14ac:dyDescent="0.3">
      <c r="A118">
        <v>1962</v>
      </c>
      <c r="B118">
        <v>-38966675961271.398</v>
      </c>
      <c r="C118">
        <v>-3710460428487.79</v>
      </c>
      <c r="D118">
        <v>-42677136389759.203</v>
      </c>
      <c r="E118">
        <v>169398873456888</v>
      </c>
      <c r="F118">
        <v>5695230064709.2305</v>
      </c>
      <c r="G118">
        <v>175094103521598</v>
      </c>
      <c r="H118">
        <v>525898323482914</v>
      </c>
      <c r="I118">
        <v>1167892113721.97</v>
      </c>
      <c r="J118">
        <v>527066215596636</v>
      </c>
      <c r="K118">
        <v>2171952482443440</v>
      </c>
      <c r="L118">
        <v>403618684209443</v>
      </c>
      <c r="M118">
        <v>2575571166652880</v>
      </c>
      <c r="N118">
        <v>97972560087636.906</v>
      </c>
      <c r="O118">
        <v>41744657132647.102</v>
      </c>
      <c r="P118">
        <v>139717217220284</v>
      </c>
      <c r="Q118">
        <v>0</v>
      </c>
      <c r="R118">
        <v>0</v>
      </c>
      <c r="S118">
        <v>0</v>
      </c>
      <c r="T118">
        <v>0</v>
      </c>
      <c r="U118">
        <v>0</v>
      </c>
      <c r="V118">
        <v>0</v>
      </c>
      <c r="W118">
        <v>4190036443823370</v>
      </c>
      <c r="X118">
        <v>524277657884212</v>
      </c>
      <c r="Y118">
        <v>4714314101707580</v>
      </c>
      <c r="Z118">
        <v>4240562081777710</v>
      </c>
      <c r="AA118">
        <v>531525108435426</v>
      </c>
      <c r="AB118">
        <v>4772087190213140</v>
      </c>
      <c r="AC118">
        <v>973723130969737</v>
      </c>
      <c r="AD118">
        <v>71111459702382</v>
      </c>
      <c r="AE118">
        <v>1044834590672110</v>
      </c>
      <c r="AF118">
        <v>251151021757978</v>
      </c>
      <c r="AG118">
        <v>1020988199339.3</v>
      </c>
      <c r="AH118">
        <v>252172009957317</v>
      </c>
      <c r="AI118">
        <v>417767173866206</v>
      </c>
      <c r="AJ118">
        <v>52773497049680.797</v>
      </c>
      <c r="AK118">
        <v>470540670915887</v>
      </c>
      <c r="AL118">
        <v>429168542766636</v>
      </c>
      <c r="AM118">
        <v>56343397081224.602</v>
      </c>
      <c r="AN118">
        <v>485511939847861</v>
      </c>
      <c r="AO118">
        <v>3789067680659230</v>
      </c>
      <c r="AP118">
        <v>520315429058210</v>
      </c>
      <c r="AQ118">
        <v>4309383109717440</v>
      </c>
      <c r="AR118"/>
      <c r="AS118">
        <f t="shared" si="23"/>
        <v>4240464437060295</v>
      </c>
      <c r="AT118">
        <f t="shared" si="24"/>
        <v>523191019308520.69</v>
      </c>
      <c r="AU118">
        <f t="shared" si="24"/>
        <v>4187389088024189</v>
      </c>
      <c r="AV118">
        <f t="shared" ref="AV118:AX173" si="27">AS118/Z118</f>
        <v>0.9999769736380385</v>
      </c>
      <c r="AW118">
        <f t="shared" si="25"/>
        <v>0.98432042250753271</v>
      </c>
      <c r="AX118">
        <f t="shared" si="25"/>
        <v>0.87747539412354369</v>
      </c>
      <c r="AY118"/>
      <c r="AZ118" s="24">
        <v>3105132630</v>
      </c>
      <c r="BA118">
        <f t="shared" si="26"/>
        <v>1916.3608951609849</v>
      </c>
      <c r="BB118">
        <f t="shared" si="26"/>
        <v>356.12154005558421</v>
      </c>
      <c r="BC118" s="23">
        <f t="shared" si="26"/>
        <v>2272.4824352165665</v>
      </c>
      <c r="BD118">
        <v>2243</v>
      </c>
      <c r="BE118"/>
    </row>
    <row r="119" spans="1:57" x14ac:dyDescent="0.3">
      <c r="A119">
        <v>1963</v>
      </c>
      <c r="B119">
        <v>-12226984484329</v>
      </c>
      <c r="C119">
        <v>640490449957.62097</v>
      </c>
      <c r="D119">
        <v>-11586494034371.4</v>
      </c>
      <c r="E119">
        <v>172754848025479</v>
      </c>
      <c r="F119">
        <v>5526109359615.9004</v>
      </c>
      <c r="G119">
        <v>178280957385095</v>
      </c>
      <c r="H119">
        <v>555138729203305</v>
      </c>
      <c r="I119">
        <v>1046924198862.67</v>
      </c>
      <c r="J119">
        <v>556185653402167</v>
      </c>
      <c r="K119">
        <v>2217910609065900</v>
      </c>
      <c r="L119">
        <v>419014738414081</v>
      </c>
      <c r="M119">
        <v>2636925347479980</v>
      </c>
      <c r="N119">
        <v>109071743485183</v>
      </c>
      <c r="O119">
        <v>43442114471689.703</v>
      </c>
      <c r="P119">
        <v>152513857956872</v>
      </c>
      <c r="Q119">
        <v>0</v>
      </c>
      <c r="R119">
        <v>0</v>
      </c>
      <c r="S119">
        <v>0</v>
      </c>
      <c r="T119">
        <v>0</v>
      </c>
      <c r="U119">
        <v>0</v>
      </c>
      <c r="V119">
        <v>0</v>
      </c>
      <c r="W119">
        <v>4322294886618560</v>
      </c>
      <c r="X119">
        <v>538775865422767</v>
      </c>
      <c r="Y119">
        <v>4861070752041330</v>
      </c>
      <c r="Z119">
        <v>4339404877133900</v>
      </c>
      <c r="AA119">
        <v>541604922431368</v>
      </c>
      <c r="AB119">
        <v>4881009799565260</v>
      </c>
      <c r="AC119">
        <v>1010974354175760</v>
      </c>
      <c r="AD119">
        <v>69376653368870.297</v>
      </c>
      <c r="AE119">
        <v>1080351007544630</v>
      </c>
      <c r="AF119">
        <v>256349840646546</v>
      </c>
      <c r="AG119">
        <v>1071553621426.8</v>
      </c>
      <c r="AH119">
        <v>257421394267972</v>
      </c>
      <c r="AI119">
        <v>441297045822687</v>
      </c>
      <c r="AJ119">
        <v>59034234377581.797</v>
      </c>
      <c r="AK119">
        <v>500331280200269</v>
      </c>
      <c r="AL119">
        <v>446117157970918</v>
      </c>
      <c r="AM119">
        <v>62502406789603.297</v>
      </c>
      <c r="AN119">
        <v>508619564760522</v>
      </c>
      <c r="AO119">
        <v>3861608670681730</v>
      </c>
      <c r="AP119">
        <v>531306524996259</v>
      </c>
      <c r="AQ119">
        <v>4392915195677990</v>
      </c>
      <c r="AR119"/>
      <c r="AS119">
        <f t="shared" si="23"/>
        <v>4339247221234733</v>
      </c>
      <c r="AT119">
        <f t="shared" si="24"/>
        <v>538431169235683.69</v>
      </c>
      <c r="AU119">
        <f t="shared" si="24"/>
        <v>4305492564634549</v>
      </c>
      <c r="AV119">
        <f t="shared" si="27"/>
        <v>0.99996366877402987</v>
      </c>
      <c r="AW119">
        <f t="shared" si="25"/>
        <v>0.99414009536428005</v>
      </c>
      <c r="AX119">
        <f t="shared" si="25"/>
        <v>0.88209053893274891</v>
      </c>
      <c r="AY119"/>
      <c r="AZ119" s="24">
        <v>3164340950</v>
      </c>
      <c r="BA119">
        <f t="shared" si="26"/>
        <v>1920.2947843209993</v>
      </c>
      <c r="BB119">
        <f t="shared" si="26"/>
        <v>362.78820861453386</v>
      </c>
      <c r="BC119" s="23">
        <f t="shared" si="26"/>
        <v>2283.0829929355323</v>
      </c>
      <c r="BD119">
        <v>2254</v>
      </c>
      <c r="BE119"/>
    </row>
    <row r="120" spans="1:57" x14ac:dyDescent="0.3">
      <c r="A120">
        <v>1964</v>
      </c>
      <c r="B120">
        <v>-62232266875941.898</v>
      </c>
      <c r="C120">
        <v>-574297495703.42505</v>
      </c>
      <c r="D120">
        <v>-62806564371645.297</v>
      </c>
      <c r="E120">
        <v>190872832990857</v>
      </c>
      <c r="F120">
        <v>5735234190556.9102</v>
      </c>
      <c r="G120">
        <v>196608067181414</v>
      </c>
      <c r="H120">
        <v>605434540141953</v>
      </c>
      <c r="I120">
        <v>1243164805993.4399</v>
      </c>
      <c r="J120">
        <v>606677704947947</v>
      </c>
      <c r="K120">
        <v>2297619582834790</v>
      </c>
      <c r="L120">
        <v>426463891155633</v>
      </c>
      <c r="M120">
        <v>2724083473990430</v>
      </c>
      <c r="N120">
        <v>115192237876909</v>
      </c>
      <c r="O120">
        <v>42991718059511.102</v>
      </c>
      <c r="P120">
        <v>158183955936420</v>
      </c>
      <c r="Q120">
        <v>0</v>
      </c>
      <c r="R120">
        <v>0</v>
      </c>
      <c r="S120">
        <v>0</v>
      </c>
      <c r="T120">
        <v>0</v>
      </c>
      <c r="U120">
        <v>0</v>
      </c>
      <c r="V120">
        <v>0</v>
      </c>
      <c r="W120">
        <v>4527020909124160</v>
      </c>
      <c r="X120">
        <v>550798763050550</v>
      </c>
      <c r="Y120">
        <v>5077819672174710</v>
      </c>
      <c r="Z120">
        <v>4604484491320900</v>
      </c>
      <c r="AA120">
        <v>555584662108722</v>
      </c>
      <c r="AB120">
        <v>5160069153429620</v>
      </c>
      <c r="AC120">
        <v>1066235506419700</v>
      </c>
      <c r="AD120">
        <v>73335114694400.594</v>
      </c>
      <c r="AE120">
        <v>1139570621114100</v>
      </c>
      <c r="AF120">
        <v>252576087839832</v>
      </c>
      <c r="AG120">
        <v>1114477133565.8301</v>
      </c>
      <c r="AH120">
        <v>253690564973398</v>
      </c>
      <c r="AI120">
        <v>477473023901538</v>
      </c>
      <c r="AJ120">
        <v>64476951460418.398</v>
      </c>
      <c r="AK120">
        <v>541949975361956</v>
      </c>
      <c r="AL120">
        <v>492569766430968</v>
      </c>
      <c r="AM120">
        <v>68641721372846</v>
      </c>
      <c r="AN120">
        <v>561211487803814</v>
      </c>
      <c r="AO120">
        <v>4089130454626020</v>
      </c>
      <c r="AP120">
        <v>544488455941715</v>
      </c>
      <c r="AQ120">
        <v>4633618910567730</v>
      </c>
      <c r="AR120"/>
      <c r="AS120">
        <f t="shared" si="23"/>
        <v>4605259797509413</v>
      </c>
      <c r="AT120">
        <f t="shared" si="24"/>
        <v>549640435233667.44</v>
      </c>
      <c r="AU120">
        <f t="shared" si="24"/>
        <v>4472136683195762</v>
      </c>
      <c r="AV120">
        <f t="shared" si="27"/>
        <v>1.0001683806710555</v>
      </c>
      <c r="AW120">
        <f t="shared" si="25"/>
        <v>0.98930095216723002</v>
      </c>
      <c r="AX120">
        <f t="shared" si="25"/>
        <v>0.86668154054163671</v>
      </c>
      <c r="AY120"/>
      <c r="AZ120" s="24">
        <v>3225968060</v>
      </c>
      <c r="BA120">
        <f t="shared" si="26"/>
        <v>1951.3051757090582</v>
      </c>
      <c r="BB120">
        <f t="shared" si="26"/>
        <v>362.1840640121527</v>
      </c>
      <c r="BC120" s="23">
        <f t="shared" si="26"/>
        <v>2313.489239721217</v>
      </c>
      <c r="BD120">
        <v>2287</v>
      </c>
      <c r="BE120"/>
    </row>
    <row r="121" spans="1:57" x14ac:dyDescent="0.3">
      <c r="A121">
        <v>1965</v>
      </c>
      <c r="B121">
        <v>94009188336544.094</v>
      </c>
      <c r="C121">
        <v>-2127571231973.2</v>
      </c>
      <c r="D121">
        <v>91881617104570.906</v>
      </c>
      <c r="E121">
        <v>185411662391312</v>
      </c>
      <c r="F121">
        <v>5953856604485.8896</v>
      </c>
      <c r="G121">
        <v>191365518995798</v>
      </c>
      <c r="H121">
        <v>625159930417005</v>
      </c>
      <c r="I121">
        <v>1091449677997.86</v>
      </c>
      <c r="J121">
        <v>626251380095003</v>
      </c>
      <c r="K121">
        <v>2367186672958760</v>
      </c>
      <c r="L121">
        <v>438590209977649</v>
      </c>
      <c r="M121">
        <v>2805776882936410</v>
      </c>
      <c r="N121">
        <v>144163622907073</v>
      </c>
      <c r="O121">
        <v>44837194329494.297</v>
      </c>
      <c r="P121">
        <v>189000817236567</v>
      </c>
      <c r="Q121">
        <v>0</v>
      </c>
      <c r="R121">
        <v>0</v>
      </c>
      <c r="S121">
        <v>0</v>
      </c>
      <c r="T121">
        <v>0</v>
      </c>
      <c r="U121">
        <v>0</v>
      </c>
      <c r="V121">
        <v>0</v>
      </c>
      <c r="W121">
        <v>4735146285943600</v>
      </c>
      <c r="X121">
        <v>571325398160603</v>
      </c>
      <c r="Y121">
        <v>5306471684104200</v>
      </c>
      <c r="Z121">
        <v>4652198412942590</v>
      </c>
      <c r="AA121">
        <v>578689298377527</v>
      </c>
      <c r="AB121">
        <v>5230887711320110</v>
      </c>
      <c r="AC121">
        <v>1162862733945750</v>
      </c>
      <c r="AD121">
        <v>79908337281957.906</v>
      </c>
      <c r="AE121">
        <v>1242771071227710</v>
      </c>
      <c r="AF121">
        <v>250962388133318</v>
      </c>
      <c r="AG121">
        <v>1192754785041.02</v>
      </c>
      <c r="AH121">
        <v>252155142918359</v>
      </c>
      <c r="AI121">
        <v>502232761939283</v>
      </c>
      <c r="AJ121">
        <v>62514949317765.203</v>
      </c>
      <c r="AK121">
        <v>564747711257048</v>
      </c>
      <c r="AL121">
        <v>513094647947340</v>
      </c>
      <c r="AM121">
        <v>67797981273676.703</v>
      </c>
      <c r="AN121">
        <v>580892629221017</v>
      </c>
      <c r="AO121">
        <v>4108124747573250</v>
      </c>
      <c r="AP121">
        <v>567368519688787</v>
      </c>
      <c r="AQ121">
        <v>4675493267262040</v>
      </c>
      <c r="AR121"/>
      <c r="AS121">
        <f t="shared" si="23"/>
        <v>4652599708424731</v>
      </c>
      <c r="AT121">
        <f t="shared" si="24"/>
        <v>570482352978628.13</v>
      </c>
      <c r="AU121">
        <f t="shared" si="24"/>
        <v>4681069433314844</v>
      </c>
      <c r="AV121">
        <f t="shared" si="27"/>
        <v>1.0000862593222646</v>
      </c>
      <c r="AW121">
        <f t="shared" si="25"/>
        <v>0.98581804532776274</v>
      </c>
      <c r="AX121">
        <f t="shared" si="25"/>
        <v>0.89489006295902507</v>
      </c>
      <c r="AY121"/>
      <c r="AZ121" s="24">
        <v>3290367510</v>
      </c>
      <c r="BA121">
        <f t="shared" si="26"/>
        <v>1971.0390769124272</v>
      </c>
      <c r="BB121">
        <f t="shared" si="26"/>
        <v>365.19234097269413</v>
      </c>
      <c r="BC121" s="23">
        <f t="shared" si="26"/>
        <v>2336.231417885122</v>
      </c>
      <c r="BD121">
        <v>2310</v>
      </c>
      <c r="BE121"/>
    </row>
    <row r="122" spans="1:57" x14ac:dyDescent="0.3">
      <c r="A122">
        <v>1966</v>
      </c>
      <c r="B122">
        <v>-62202555260790.5</v>
      </c>
      <c r="C122">
        <v>-4709500730861.8604</v>
      </c>
      <c r="D122">
        <v>-66912055991652.398</v>
      </c>
      <c r="E122">
        <v>192336420437148</v>
      </c>
      <c r="F122">
        <v>6224927297146.4297</v>
      </c>
      <c r="G122">
        <v>198561347734294</v>
      </c>
      <c r="H122">
        <v>652345856669481</v>
      </c>
      <c r="I122">
        <v>974809045259.16797</v>
      </c>
      <c r="J122">
        <v>653320665714740</v>
      </c>
      <c r="K122">
        <v>2428771446870350</v>
      </c>
      <c r="L122">
        <v>452209686798931</v>
      </c>
      <c r="M122">
        <v>2880981133669280</v>
      </c>
      <c r="N122">
        <v>125261952219479</v>
      </c>
      <c r="O122">
        <v>45719484548718.5</v>
      </c>
      <c r="P122">
        <v>170981436768198</v>
      </c>
      <c r="Q122">
        <v>0</v>
      </c>
      <c r="R122">
        <v>0</v>
      </c>
      <c r="S122">
        <v>0</v>
      </c>
      <c r="T122">
        <v>0</v>
      </c>
      <c r="U122">
        <v>0</v>
      </c>
      <c r="V122">
        <v>0</v>
      </c>
      <c r="W122">
        <v>4865484570781020</v>
      </c>
      <c r="X122">
        <v>587418332904955</v>
      </c>
      <c r="Y122">
        <v>5452902903685970</v>
      </c>
      <c r="Z122">
        <v>4932173688385990</v>
      </c>
      <c r="AA122">
        <v>597063559040147</v>
      </c>
      <c r="AB122">
        <v>5529237247426140</v>
      </c>
      <c r="AC122">
        <v>1216598148032370</v>
      </c>
      <c r="AD122">
        <v>81174861653121.906</v>
      </c>
      <c r="AE122">
        <v>1297773009685490</v>
      </c>
      <c r="AF122">
        <v>250977447462633</v>
      </c>
      <c r="AG122">
        <v>1257456472432.03</v>
      </c>
      <c r="AH122">
        <v>252234903935065</v>
      </c>
      <c r="AI122">
        <v>539520629505364</v>
      </c>
      <c r="AJ122">
        <v>63667372071325.203</v>
      </c>
      <c r="AK122">
        <v>603188001576689</v>
      </c>
      <c r="AL122">
        <v>543962639440386</v>
      </c>
      <c r="AM122">
        <v>68638584479100.898</v>
      </c>
      <c r="AN122">
        <v>612601223919487</v>
      </c>
      <c r="AO122">
        <v>4375405758340650</v>
      </c>
      <c r="AP122">
        <v>585525329525734</v>
      </c>
      <c r="AQ122">
        <v>4960931087866380</v>
      </c>
      <c r="AR122"/>
      <c r="AS122">
        <f t="shared" si="23"/>
        <v>4932935836887274</v>
      </c>
      <c r="AT122">
        <f t="shared" si="24"/>
        <v>586586416770349.88</v>
      </c>
      <c r="AU122">
        <f t="shared" si="24"/>
        <v>4800531831792327</v>
      </c>
      <c r="AV122">
        <f t="shared" si="27"/>
        <v>1.0001545258844144</v>
      </c>
      <c r="AW122">
        <f t="shared" si="25"/>
        <v>0.9824522161649919</v>
      </c>
      <c r="AX122">
        <f t="shared" si="25"/>
        <v>0.868208690814809</v>
      </c>
      <c r="AY122"/>
      <c r="AZ122" s="24">
        <v>3357665270</v>
      </c>
      <c r="BA122">
        <f t="shared" si="26"/>
        <v>1981.7843091875563</v>
      </c>
      <c r="BB122">
        <f t="shared" si="26"/>
        <v>368.9857532356686</v>
      </c>
      <c r="BC122" s="23">
        <f t="shared" si="26"/>
        <v>2350.7700624232243</v>
      </c>
      <c r="BD122">
        <v>2327</v>
      </c>
      <c r="BE122"/>
    </row>
    <row r="123" spans="1:57" x14ac:dyDescent="0.3">
      <c r="A123">
        <v>1967</v>
      </c>
      <c r="B123">
        <v>-119159420023425</v>
      </c>
      <c r="C123">
        <v>-6233463342545.0498</v>
      </c>
      <c r="D123">
        <v>-125392883365970</v>
      </c>
      <c r="E123">
        <v>196599801275306</v>
      </c>
      <c r="F123">
        <v>6675054241046.79</v>
      </c>
      <c r="G123">
        <v>203274855516352</v>
      </c>
      <c r="H123">
        <v>671150510907690</v>
      </c>
      <c r="I123">
        <v>946894896921.151</v>
      </c>
      <c r="J123">
        <v>672097405804611</v>
      </c>
      <c r="K123">
        <v>2476053134890340</v>
      </c>
      <c r="L123">
        <v>468521856032897</v>
      </c>
      <c r="M123">
        <v>2944574990923240</v>
      </c>
      <c r="N123">
        <v>127544581266408</v>
      </c>
      <c r="O123">
        <v>49374369372345.703</v>
      </c>
      <c r="P123">
        <v>176918950638754</v>
      </c>
      <c r="Q123">
        <v>0</v>
      </c>
      <c r="R123">
        <v>0</v>
      </c>
      <c r="S123">
        <v>0</v>
      </c>
      <c r="T123">
        <v>0</v>
      </c>
      <c r="U123">
        <v>0</v>
      </c>
      <c r="V123">
        <v>0</v>
      </c>
      <c r="W123">
        <v>4983517009407180</v>
      </c>
      <c r="X123">
        <v>609597394190232</v>
      </c>
      <c r="Y123">
        <v>5593114403597410</v>
      </c>
      <c r="Z123">
        <v>5105849290288310</v>
      </c>
      <c r="AA123">
        <v>621205699067402</v>
      </c>
      <c r="AB123">
        <v>5727054989355710</v>
      </c>
      <c r="AC123">
        <v>1261341010490220</v>
      </c>
      <c r="AD123">
        <v>82937150569507.797</v>
      </c>
      <c r="AE123">
        <v>1344278161059730</v>
      </c>
      <c r="AF123">
        <v>251840694538177</v>
      </c>
      <c r="AG123">
        <v>1270843363811.6201</v>
      </c>
      <c r="AH123">
        <v>253111537901989</v>
      </c>
      <c r="AI123">
        <v>523278162235513</v>
      </c>
      <c r="AJ123">
        <v>69947203781721.703</v>
      </c>
      <c r="AK123">
        <v>593225366017235</v>
      </c>
      <c r="AL123">
        <v>526267203648449</v>
      </c>
      <c r="AM123">
        <v>75491230508498.297</v>
      </c>
      <c r="AN123">
        <v>601758434156947</v>
      </c>
      <c r="AO123">
        <v>4539723732894370</v>
      </c>
      <c r="AP123">
        <v>607498529477899</v>
      </c>
      <c r="AQ123">
        <v>5147222262372270</v>
      </c>
      <c r="AR123"/>
      <c r="AS123">
        <f t="shared" si="23"/>
        <v>5106678194804502</v>
      </c>
      <c r="AT123">
        <f t="shared" si="24"/>
        <v>608779273579608.88</v>
      </c>
      <c r="AU123">
        <f t="shared" si="24"/>
        <v>4922158496040065</v>
      </c>
      <c r="AV123">
        <f t="shared" si="27"/>
        <v>1.0001623441016501</v>
      </c>
      <c r="AW123">
        <f t="shared" si="25"/>
        <v>0.97999627899993746</v>
      </c>
      <c r="AX123">
        <f t="shared" si="25"/>
        <v>0.85945717392069332</v>
      </c>
      <c r="AY123"/>
      <c r="AZ123" s="24">
        <v>3427589770</v>
      </c>
      <c r="BA123">
        <f t="shared" si="26"/>
        <v>1979.1479360371775</v>
      </c>
      <c r="BB123">
        <f t="shared" si="26"/>
        <v>374.4968358269432</v>
      </c>
      <c r="BC123" s="23">
        <f t="shared" si="26"/>
        <v>2353.644771864123</v>
      </c>
      <c r="BD123">
        <v>2330</v>
      </c>
      <c r="BE123"/>
    </row>
    <row r="124" spans="1:57" x14ac:dyDescent="0.3">
      <c r="A124">
        <v>1968</v>
      </c>
      <c r="B124">
        <v>-106779666992654</v>
      </c>
      <c r="C124">
        <v>1777354767840.29</v>
      </c>
      <c r="D124">
        <v>-105002312224814</v>
      </c>
      <c r="E124">
        <v>207738579617277</v>
      </c>
      <c r="F124">
        <v>7039190423188.7197</v>
      </c>
      <c r="G124">
        <v>214777770040465</v>
      </c>
      <c r="H124">
        <v>679124062268167</v>
      </c>
      <c r="I124">
        <v>1129435202800.26</v>
      </c>
      <c r="J124">
        <v>680253497470967</v>
      </c>
      <c r="K124">
        <v>2525613836686330</v>
      </c>
      <c r="L124">
        <v>485134078184345</v>
      </c>
      <c r="M124">
        <v>3010747914870670</v>
      </c>
      <c r="N124">
        <v>126243424364732</v>
      </c>
      <c r="O124">
        <v>50990697284582.102</v>
      </c>
      <c r="P124">
        <v>177234121649315</v>
      </c>
      <c r="Q124">
        <v>0</v>
      </c>
      <c r="R124">
        <v>0</v>
      </c>
      <c r="S124">
        <v>0</v>
      </c>
      <c r="T124">
        <v>0</v>
      </c>
      <c r="U124">
        <v>0</v>
      </c>
      <c r="V124">
        <v>0</v>
      </c>
      <c r="W124">
        <v>5129597819034320</v>
      </c>
      <c r="X124">
        <v>633330860241993</v>
      </c>
      <c r="Y124">
        <v>5762928679276320</v>
      </c>
      <c r="Z124">
        <v>5250529589393060</v>
      </c>
      <c r="AA124">
        <v>636775513680323</v>
      </c>
      <c r="AB124">
        <v>5887305103073390</v>
      </c>
      <c r="AC124">
        <v>1337629550387890</v>
      </c>
      <c r="AD124">
        <v>87804731704656.5</v>
      </c>
      <c r="AE124">
        <v>1425434282092540</v>
      </c>
      <c r="AF124">
        <v>254198362813133</v>
      </c>
      <c r="AG124">
        <v>1363214845202.1799</v>
      </c>
      <c r="AH124">
        <v>255561577658335</v>
      </c>
      <c r="AI124">
        <v>515382506429694</v>
      </c>
      <c r="AJ124">
        <v>75606858489964</v>
      </c>
      <c r="AK124">
        <v>590989364919658</v>
      </c>
      <c r="AL124">
        <v>529516905992537</v>
      </c>
      <c r="AM124">
        <v>80813199175796.297</v>
      </c>
      <c r="AN124">
        <v>610330105168333</v>
      </c>
      <c r="AO124">
        <v>4676882230485260</v>
      </c>
      <c r="AP124">
        <v>623647364058965</v>
      </c>
      <c r="AQ124">
        <v>5300529594544230</v>
      </c>
      <c r="AR124"/>
      <c r="AS124">
        <f t="shared" si="23"/>
        <v>5251461882693026</v>
      </c>
      <c r="AT124">
        <f t="shared" si="24"/>
        <v>632331912441974.5</v>
      </c>
      <c r="AU124">
        <f t="shared" si="24"/>
        <v>5083755666311325</v>
      </c>
      <c r="AV124">
        <f t="shared" si="27"/>
        <v>1.0001775617647883</v>
      </c>
      <c r="AW124">
        <f t="shared" si="25"/>
        <v>0.99302171465000888</v>
      </c>
      <c r="AX124">
        <f t="shared" si="25"/>
        <v>0.86351150098496121</v>
      </c>
      <c r="AY124"/>
      <c r="AZ124" s="24">
        <v>3498856340</v>
      </c>
      <c r="BA124">
        <f t="shared" si="26"/>
        <v>1977.6433471756066</v>
      </c>
      <c r="BB124">
        <f t="shared" si="26"/>
        <v>379.87683163322657</v>
      </c>
      <c r="BC124" s="23">
        <f t="shared" si="26"/>
        <v>2357.5201788088293</v>
      </c>
      <c r="BD124">
        <v>2334</v>
      </c>
      <c r="BE124"/>
    </row>
    <row r="125" spans="1:57" x14ac:dyDescent="0.3">
      <c r="A125">
        <v>1969</v>
      </c>
      <c r="B125">
        <v>14457233619514.801</v>
      </c>
      <c r="C125">
        <v>3471554275512.9502</v>
      </c>
      <c r="D125">
        <v>17928787895027.801</v>
      </c>
      <c r="E125">
        <v>220364171866775</v>
      </c>
      <c r="F125">
        <v>6940923913330.5703</v>
      </c>
      <c r="G125">
        <v>227305095780106</v>
      </c>
      <c r="H125">
        <v>678214043979992</v>
      </c>
      <c r="I125">
        <v>1115166997525.97</v>
      </c>
      <c r="J125">
        <v>679329210977518</v>
      </c>
      <c r="K125">
        <v>2593925031954720</v>
      </c>
      <c r="L125">
        <v>490381842984088</v>
      </c>
      <c r="M125">
        <v>3084306874938810</v>
      </c>
      <c r="N125">
        <v>129401344126197</v>
      </c>
      <c r="O125">
        <v>51171633535904.102</v>
      </c>
      <c r="P125">
        <v>180572977662101</v>
      </c>
      <c r="Q125">
        <v>0</v>
      </c>
      <c r="R125">
        <v>0</v>
      </c>
      <c r="S125">
        <v>0</v>
      </c>
      <c r="T125">
        <v>0</v>
      </c>
      <c r="U125">
        <v>0</v>
      </c>
      <c r="V125">
        <v>0</v>
      </c>
      <c r="W125">
        <v>5281773940443420</v>
      </c>
      <c r="X125">
        <v>637737103979133</v>
      </c>
      <c r="Y125">
        <v>5919511044422550</v>
      </c>
      <c r="Z125">
        <v>5272008838768130</v>
      </c>
      <c r="AA125">
        <v>635862064908206</v>
      </c>
      <c r="AB125">
        <v>5907870903676340</v>
      </c>
      <c r="AC125">
        <v>1407627871512770</v>
      </c>
      <c r="AD125">
        <v>86813344199558.5</v>
      </c>
      <c r="AE125">
        <v>1494441215712320</v>
      </c>
      <c r="AF125">
        <v>253531286174422</v>
      </c>
      <c r="AG125">
        <v>1401838051060.29</v>
      </c>
      <c r="AH125">
        <v>254933124225483</v>
      </c>
      <c r="AI125">
        <v>511301843887023</v>
      </c>
      <c r="AJ125">
        <v>76251230798969.5</v>
      </c>
      <c r="AK125">
        <v>587553074685993</v>
      </c>
      <c r="AL125">
        <v>515812555685637</v>
      </c>
      <c r="AM125">
        <v>77817242266226.297</v>
      </c>
      <c r="AN125">
        <v>593629797951863</v>
      </c>
      <c r="AO125">
        <v>4684780030877980</v>
      </c>
      <c r="AP125">
        <v>624445941040407</v>
      </c>
      <c r="AQ125">
        <v>5309225971918390</v>
      </c>
      <c r="AR125"/>
      <c r="AS125">
        <f t="shared" si="23"/>
        <v>5273117227793975</v>
      </c>
      <c r="AT125">
        <f t="shared" si="24"/>
        <v>636709582683941.5</v>
      </c>
      <c r="AU125">
        <f t="shared" si="24"/>
        <v>5241559288318820</v>
      </c>
      <c r="AV125">
        <f t="shared" si="27"/>
        <v>1.0002102403580386</v>
      </c>
      <c r="AW125">
        <f t="shared" si="25"/>
        <v>1.0013328641894337</v>
      </c>
      <c r="AX125">
        <f t="shared" si="25"/>
        <v>0.88721628718344392</v>
      </c>
      <c r="AY125"/>
      <c r="AZ125" s="24">
        <v>3572182120</v>
      </c>
      <c r="BA125">
        <f t="shared" si="26"/>
        <v>1989.4405392644474</v>
      </c>
      <c r="BB125">
        <f t="shared" si="26"/>
        <v>376.10397607234609</v>
      </c>
      <c r="BC125" s="23">
        <f t="shared" si="26"/>
        <v>2365.544515336795</v>
      </c>
      <c r="BD125">
        <v>2343</v>
      </c>
      <c r="BE125"/>
    </row>
    <row r="126" spans="1:57" x14ac:dyDescent="0.3">
      <c r="A126">
        <v>1970</v>
      </c>
      <c r="B126">
        <v>84048289639871.406</v>
      </c>
      <c r="C126">
        <v>-1026334235662.1</v>
      </c>
      <c r="D126">
        <v>83021955404209.297</v>
      </c>
      <c r="E126">
        <v>233012699207992</v>
      </c>
      <c r="F126">
        <v>6821717087197.8203</v>
      </c>
      <c r="G126">
        <v>239834416295189</v>
      </c>
      <c r="H126">
        <v>747454768108588</v>
      </c>
      <c r="I126">
        <v>945697870207.29102</v>
      </c>
      <c r="J126">
        <v>748400465978795</v>
      </c>
      <c r="K126">
        <v>2709246348375170</v>
      </c>
      <c r="L126">
        <v>502374485733304</v>
      </c>
      <c r="M126">
        <v>3211620834108480</v>
      </c>
      <c r="N126">
        <v>140435085884206</v>
      </c>
      <c r="O126">
        <v>52231167360563.797</v>
      </c>
      <c r="P126">
        <v>192666253244770</v>
      </c>
      <c r="Q126">
        <v>0</v>
      </c>
      <c r="R126">
        <v>0</v>
      </c>
      <c r="S126">
        <v>0</v>
      </c>
      <c r="T126">
        <v>0</v>
      </c>
      <c r="U126">
        <v>0</v>
      </c>
      <c r="V126">
        <v>0</v>
      </c>
      <c r="W126">
        <v>5549676998005110</v>
      </c>
      <c r="X126">
        <v>647151009037403</v>
      </c>
      <c r="Y126">
        <v>6196828007042520</v>
      </c>
      <c r="Z126">
        <v>5475338037045810</v>
      </c>
      <c r="AA126">
        <v>654115299735200</v>
      </c>
      <c r="AB126">
        <v>6129453336781010</v>
      </c>
      <c r="AC126">
        <v>1464960994862240</v>
      </c>
      <c r="AD126">
        <v>83659445269765.5</v>
      </c>
      <c r="AE126">
        <v>1548620440132000</v>
      </c>
      <c r="AF126">
        <v>256968022412108</v>
      </c>
      <c r="AG126">
        <v>1499532625957.77</v>
      </c>
      <c r="AH126">
        <v>258467555038065</v>
      </c>
      <c r="AI126">
        <v>578817431832597</v>
      </c>
      <c r="AJ126">
        <v>76799996649803.5</v>
      </c>
      <c r="AK126">
        <v>655617428482400</v>
      </c>
      <c r="AL126">
        <v>588249102310626</v>
      </c>
      <c r="AM126">
        <v>82744015784159.797</v>
      </c>
      <c r="AN126">
        <v>670993118094786</v>
      </c>
      <c r="AO126">
        <v>4838017189260130</v>
      </c>
      <c r="AP126">
        <v>641644163987101</v>
      </c>
      <c r="AQ126">
        <v>5479661353247230</v>
      </c>
      <c r="AR126"/>
      <c r="AS126">
        <f t="shared" si="23"/>
        <v>5477461299688462</v>
      </c>
      <c r="AT126">
        <f t="shared" si="24"/>
        <v>646586348076788.88</v>
      </c>
      <c r="AU126">
        <f t="shared" si="24"/>
        <v>5451209498818504</v>
      </c>
      <c r="AV126">
        <f t="shared" si="27"/>
        <v>1.0003877865856474</v>
      </c>
      <c r="AW126">
        <f t="shared" si="25"/>
        <v>0.98848987072851069</v>
      </c>
      <c r="AX126">
        <f t="shared" si="25"/>
        <v>0.88934676541339042</v>
      </c>
      <c r="AY126"/>
      <c r="AZ126" s="24">
        <v>3646124510</v>
      </c>
      <c r="BA126">
        <f t="shared" si="26"/>
        <v>2035.7485639661927</v>
      </c>
      <c r="BB126">
        <f t="shared" si="26"/>
        <v>377.48805623312262</v>
      </c>
      <c r="BC126" s="23">
        <f t="shared" si="26"/>
        <v>2413.23662019932</v>
      </c>
      <c r="BD126">
        <v>2389</v>
      </c>
      <c r="BE126"/>
    </row>
    <row r="127" spans="1:57" x14ac:dyDescent="0.3">
      <c r="A127">
        <v>1971</v>
      </c>
      <c r="B127">
        <v>-136553666912394</v>
      </c>
      <c r="C127">
        <v>-3613609007085.8301</v>
      </c>
      <c r="D127">
        <v>-140167275919480</v>
      </c>
      <c r="E127">
        <v>215429329201210</v>
      </c>
      <c r="F127">
        <v>7063470234258.8799</v>
      </c>
      <c r="G127">
        <v>222492799435469</v>
      </c>
      <c r="H127">
        <v>760384803262306</v>
      </c>
      <c r="I127">
        <v>1155155436041.8501</v>
      </c>
      <c r="J127">
        <v>761539958698348</v>
      </c>
      <c r="K127">
        <v>2725881602493450</v>
      </c>
      <c r="L127">
        <v>517240508650615</v>
      </c>
      <c r="M127">
        <v>3243122111144060</v>
      </c>
      <c r="N127">
        <v>146366522016855</v>
      </c>
      <c r="O127">
        <v>55882181403086</v>
      </c>
      <c r="P127">
        <v>202248703419941</v>
      </c>
      <c r="Q127">
        <v>0</v>
      </c>
      <c r="R127">
        <v>0</v>
      </c>
      <c r="S127">
        <v>0</v>
      </c>
      <c r="T127">
        <v>0</v>
      </c>
      <c r="U127">
        <v>0</v>
      </c>
      <c r="V127">
        <v>0</v>
      </c>
      <c r="W127">
        <v>5643028578859170</v>
      </c>
      <c r="X127">
        <v>664249449043821</v>
      </c>
      <c r="Y127">
        <v>6307278027902990</v>
      </c>
      <c r="Z127">
        <v>5792874776671270</v>
      </c>
      <c r="AA127">
        <v>674015439629407</v>
      </c>
      <c r="AB127">
        <v>6466890216300680</v>
      </c>
      <c r="AC127">
        <v>1536609671496060</v>
      </c>
      <c r="AD127">
        <v>82026387419038.5</v>
      </c>
      <c r="AE127">
        <v>1618636058915090</v>
      </c>
      <c r="AF127">
        <v>260719974061867</v>
      </c>
      <c r="AG127">
        <v>1554074257301.3999</v>
      </c>
      <c r="AH127">
        <v>262274048319169</v>
      </c>
      <c r="AI127">
        <v>597334849418863</v>
      </c>
      <c r="AJ127">
        <v>77842245541982.203</v>
      </c>
      <c r="AK127">
        <v>675177094960845</v>
      </c>
      <c r="AL127">
        <v>610398118108922</v>
      </c>
      <c r="AM127">
        <v>84040809120640.406</v>
      </c>
      <c r="AN127">
        <v>694438927229563</v>
      </c>
      <c r="AO127">
        <v>5135720670969400</v>
      </c>
      <c r="AP127">
        <v>660487392882059</v>
      </c>
      <c r="AQ127">
        <v>5796208063851460</v>
      </c>
      <c r="AR127"/>
      <c r="AS127">
        <f t="shared" si="23"/>
        <v>5795008838134201</v>
      </c>
      <c r="AT127">
        <f t="shared" si="24"/>
        <v>663766621964299.75</v>
      </c>
      <c r="AU127">
        <f t="shared" si="24"/>
        <v>5548773721233729</v>
      </c>
      <c r="AV127">
        <f t="shared" si="27"/>
        <v>1.0003683941989434</v>
      </c>
      <c r="AW127">
        <f t="shared" si="25"/>
        <v>0.98479438739453451</v>
      </c>
      <c r="AX127">
        <f t="shared" si="25"/>
        <v>0.85802813031328207</v>
      </c>
      <c r="AY127"/>
      <c r="AZ127" s="24">
        <v>3720604130</v>
      </c>
      <c r="BA127">
        <f t="shared" si="26"/>
        <v>2007.2462731891494</v>
      </c>
      <c r="BB127">
        <f t="shared" si="26"/>
        <v>380.87827526393886</v>
      </c>
      <c r="BC127" s="23">
        <f t="shared" si="26"/>
        <v>2388.1245484530846</v>
      </c>
      <c r="BD127">
        <v>2365</v>
      </c>
      <c r="BE127"/>
    </row>
    <row r="128" spans="1:57" x14ac:dyDescent="0.3">
      <c r="A128">
        <v>1972</v>
      </c>
      <c r="B128">
        <v>116448827225405</v>
      </c>
      <c r="C128">
        <v>3702780264696.5</v>
      </c>
      <c r="D128">
        <v>120151607490102</v>
      </c>
      <c r="E128">
        <v>222027344864945</v>
      </c>
      <c r="F128">
        <v>7401150520801.4697</v>
      </c>
      <c r="G128">
        <v>229428495385747</v>
      </c>
      <c r="H128">
        <v>763575665751678</v>
      </c>
      <c r="I128">
        <v>1435499183962.8999</v>
      </c>
      <c r="J128">
        <v>765011164935641</v>
      </c>
      <c r="K128">
        <v>2757668167407870</v>
      </c>
      <c r="L128">
        <v>531224342428693</v>
      </c>
      <c r="M128">
        <v>3288892509836560</v>
      </c>
      <c r="N128">
        <v>146979897817621</v>
      </c>
      <c r="O128">
        <v>58418167817215</v>
      </c>
      <c r="P128">
        <v>205398065634836</v>
      </c>
      <c r="Q128">
        <v>0</v>
      </c>
      <c r="R128">
        <v>0</v>
      </c>
      <c r="S128">
        <v>0</v>
      </c>
      <c r="T128">
        <v>0</v>
      </c>
      <c r="U128">
        <v>0</v>
      </c>
      <c r="V128">
        <v>0</v>
      </c>
      <c r="W128">
        <v>5742750289085180</v>
      </c>
      <c r="X128">
        <v>684054196382135</v>
      </c>
      <c r="Y128">
        <v>6426804485467310</v>
      </c>
      <c r="Z128">
        <v>5649060856025650</v>
      </c>
      <c r="AA128">
        <v>682936061975253</v>
      </c>
      <c r="AB128">
        <v>6331996918000900</v>
      </c>
      <c r="AC128">
        <v>1592491486192050</v>
      </c>
      <c r="AD128">
        <v>84433997286998.5</v>
      </c>
      <c r="AE128">
        <v>1676925483479040</v>
      </c>
      <c r="AF128">
        <v>262758905359601</v>
      </c>
      <c r="AG128">
        <v>1582539205195.8501</v>
      </c>
      <c r="AH128">
        <v>264341444564797</v>
      </c>
      <c r="AI128">
        <v>655377949473780</v>
      </c>
      <c r="AJ128">
        <v>80746633910843.094</v>
      </c>
      <c r="AK128">
        <v>736124583384623</v>
      </c>
      <c r="AL128">
        <v>677922187189275</v>
      </c>
      <c r="AM128">
        <v>83330306634972.703</v>
      </c>
      <c r="AN128">
        <v>761252493824248</v>
      </c>
      <c r="AO128">
        <v>4995277580147730</v>
      </c>
      <c r="AP128">
        <v>672160248288775</v>
      </c>
      <c r="AQ128">
        <v>5667437828436510</v>
      </c>
      <c r="AR128"/>
      <c r="AS128">
        <f t="shared" si="23"/>
        <v>5651596877883855</v>
      </c>
      <c r="AT128">
        <f t="shared" si="24"/>
        <v>683060197258903.88</v>
      </c>
      <c r="AU128">
        <f t="shared" si="24"/>
        <v>5664985998900980</v>
      </c>
      <c r="AV128">
        <f t="shared" si="27"/>
        <v>1.0004489280471285</v>
      </c>
      <c r="AW128">
        <f t="shared" si="25"/>
        <v>1.0001817670651214</v>
      </c>
      <c r="AX128">
        <f t="shared" si="25"/>
        <v>0.89466025840857411</v>
      </c>
      <c r="AY128"/>
      <c r="AZ128" s="24">
        <v>3795619040</v>
      </c>
      <c r="BA128">
        <f t="shared" si="26"/>
        <v>1990.5199055941732</v>
      </c>
      <c r="BB128">
        <f t="shared" si="26"/>
        <v>383.44447690906435</v>
      </c>
      <c r="BC128" s="23">
        <f t="shared" si="26"/>
        <v>2373.9643825032354</v>
      </c>
      <c r="BD128">
        <v>2352</v>
      </c>
      <c r="BE128"/>
    </row>
    <row r="129" spans="1:57" x14ac:dyDescent="0.3">
      <c r="A129">
        <v>1973</v>
      </c>
      <c r="B129">
        <v>-92217272697140.703</v>
      </c>
      <c r="C129">
        <v>2466169357657.6802</v>
      </c>
      <c r="D129">
        <v>-89751103339483</v>
      </c>
      <c r="E129">
        <v>253918749744345</v>
      </c>
      <c r="F129">
        <v>7494314218624.3496</v>
      </c>
      <c r="G129">
        <v>261413063962969</v>
      </c>
      <c r="H129">
        <v>806776972477216</v>
      </c>
      <c r="I129">
        <v>1521169499198.6299</v>
      </c>
      <c r="J129">
        <v>808298141976415</v>
      </c>
      <c r="K129">
        <v>2872241788316660</v>
      </c>
      <c r="L129">
        <v>535438054385104</v>
      </c>
      <c r="M129">
        <v>3407679842701760</v>
      </c>
      <c r="N129">
        <v>145745111405272</v>
      </c>
      <c r="O129">
        <v>60564202084862.602</v>
      </c>
      <c r="P129">
        <v>206309313490134</v>
      </c>
      <c r="Q129">
        <v>0</v>
      </c>
      <c r="R129">
        <v>0</v>
      </c>
      <c r="S129">
        <v>0</v>
      </c>
      <c r="T129">
        <v>0</v>
      </c>
      <c r="U129">
        <v>0</v>
      </c>
      <c r="V129">
        <v>0</v>
      </c>
      <c r="W129">
        <v>5978252927666420</v>
      </c>
      <c r="X129">
        <v>687574154692657</v>
      </c>
      <c r="Y129">
        <v>6665827082359080</v>
      </c>
      <c r="Z129">
        <v>6104349548218990</v>
      </c>
      <c r="AA129">
        <v>686978072754357</v>
      </c>
      <c r="AB129">
        <v>6791327620973340</v>
      </c>
      <c r="AC129">
        <v>1638742332667140</v>
      </c>
      <c r="AD129">
        <v>81175438659594.797</v>
      </c>
      <c r="AE129">
        <v>1719917771326740</v>
      </c>
      <c r="AF129">
        <v>265326881083955</v>
      </c>
      <c r="AG129">
        <v>1689307462482.5801</v>
      </c>
      <c r="AH129">
        <v>267016188546437</v>
      </c>
      <c r="AI129">
        <v>743191310040685</v>
      </c>
      <c r="AJ129">
        <v>78323646463358.406</v>
      </c>
      <c r="AK129">
        <v>821514956504043</v>
      </c>
      <c r="AL129">
        <v>776857171435974</v>
      </c>
      <c r="AM129">
        <v>80269183801480.297</v>
      </c>
      <c r="AN129">
        <v>857126355237454</v>
      </c>
      <c r="AO129">
        <v>5420907620292730</v>
      </c>
      <c r="AP129">
        <v>677399015366291</v>
      </c>
      <c r="AQ129">
        <v>6098306635659020</v>
      </c>
      <c r="AR129"/>
      <c r="AS129">
        <f t="shared" si="23"/>
        <v>6108634969787018</v>
      </c>
      <c r="AT129">
        <f t="shared" si="24"/>
        <v>686361316810668.38</v>
      </c>
      <c r="AU129">
        <f t="shared" si="24"/>
        <v>5862336180028040</v>
      </c>
      <c r="AV129">
        <f t="shared" si="27"/>
        <v>1.0007020275516951</v>
      </c>
      <c r="AW129">
        <f t="shared" si="25"/>
        <v>0.99910221887983142</v>
      </c>
      <c r="AX129">
        <f t="shared" si="25"/>
        <v>0.86320915544166366</v>
      </c>
      <c r="AY129"/>
      <c r="AZ129" s="24">
        <v>3870765680</v>
      </c>
      <c r="BA129">
        <f t="shared" si="26"/>
        <v>2032.9713123914041</v>
      </c>
      <c r="BB129">
        <f t="shared" si="26"/>
        <v>378.98278917720984</v>
      </c>
      <c r="BC129" s="23">
        <f t="shared" si="26"/>
        <v>2411.9541015686109</v>
      </c>
      <c r="BD129">
        <v>2389</v>
      </c>
      <c r="BE129"/>
    </row>
    <row r="130" spans="1:57" x14ac:dyDescent="0.3">
      <c r="A130">
        <v>1974</v>
      </c>
      <c r="B130">
        <v>-21985826153304.5</v>
      </c>
      <c r="C130">
        <v>-5148615697260.6504</v>
      </c>
      <c r="D130">
        <v>-27134441850565.102</v>
      </c>
      <c r="E130">
        <v>248432283213840</v>
      </c>
      <c r="F130">
        <v>8076241284428.79</v>
      </c>
      <c r="G130">
        <v>256508524498269</v>
      </c>
      <c r="H130">
        <v>835731617613787</v>
      </c>
      <c r="I130">
        <v>2163432303360.4399</v>
      </c>
      <c r="J130">
        <v>837895049917147</v>
      </c>
      <c r="K130">
        <v>2908542512285960</v>
      </c>
      <c r="L130">
        <v>552061013353227</v>
      </c>
      <c r="M130">
        <v>3460603525639190</v>
      </c>
      <c r="N130">
        <v>149695425925741</v>
      </c>
      <c r="O130">
        <v>63537369634686.102</v>
      </c>
      <c r="P130">
        <v>213232795560427</v>
      </c>
      <c r="Q130">
        <v>0</v>
      </c>
      <c r="R130">
        <v>0</v>
      </c>
      <c r="S130">
        <v>0</v>
      </c>
      <c r="T130">
        <v>0</v>
      </c>
      <c r="U130">
        <v>0</v>
      </c>
      <c r="V130">
        <v>0</v>
      </c>
      <c r="W130">
        <v>5968124054956770</v>
      </c>
      <c r="X130">
        <v>705916139626266</v>
      </c>
      <c r="Y130">
        <v>6674040194583040</v>
      </c>
      <c r="Z130">
        <v>5998750687778560</v>
      </c>
      <c r="AA130">
        <v>714445478019011</v>
      </c>
      <c r="AB130">
        <v>6713196165797570</v>
      </c>
      <c r="AC130">
        <v>1564534485291170</v>
      </c>
      <c r="AD130">
        <v>78855171830600.594</v>
      </c>
      <c r="AE130">
        <v>1643389657121770</v>
      </c>
      <c r="AF130">
        <v>264245186724179</v>
      </c>
      <c r="AG130">
        <v>1700460680381.28</v>
      </c>
      <c r="AH130">
        <v>265945647404560</v>
      </c>
      <c r="AI130">
        <v>732898589191334</v>
      </c>
      <c r="AJ130">
        <v>78536895827399.203</v>
      </c>
      <c r="AK130">
        <v>811435485018733</v>
      </c>
      <c r="AL130">
        <v>741406941377781</v>
      </c>
      <c r="AM130">
        <v>81956893825156.406</v>
      </c>
      <c r="AN130">
        <v>823363835202937</v>
      </c>
      <c r="AO130">
        <v>5287076052933010</v>
      </c>
      <c r="AP130">
        <v>703115592114129</v>
      </c>
      <c r="AQ130">
        <v>5990191645047140</v>
      </c>
      <c r="AR130"/>
      <c r="AS130">
        <f t="shared" si="23"/>
        <v>6001675689394428</v>
      </c>
      <c r="AT130">
        <f t="shared" si="24"/>
        <v>704230256783323.75</v>
      </c>
      <c r="AU130">
        <f t="shared" si="24"/>
        <v>5839680150224216</v>
      </c>
      <c r="AV130">
        <f t="shared" si="27"/>
        <v>1.0004876017971254</v>
      </c>
      <c r="AW130">
        <f t="shared" si="25"/>
        <v>0.98570188831761996</v>
      </c>
      <c r="AX130">
        <f t="shared" si="25"/>
        <v>0.8698807551574691</v>
      </c>
      <c r="AY130"/>
      <c r="AZ130" s="24">
        <v>3945578790</v>
      </c>
      <c r="BA130">
        <f t="shared" si="26"/>
        <v>2019.6300839049422</v>
      </c>
      <c r="BB130">
        <f t="shared" si="26"/>
        <v>383.33943066313537</v>
      </c>
      <c r="BC130" s="23">
        <f t="shared" si="26"/>
        <v>2402.9695145680798</v>
      </c>
      <c r="BD130">
        <v>2381</v>
      </c>
      <c r="BE130"/>
    </row>
    <row r="131" spans="1:57" x14ac:dyDescent="0.3">
      <c r="A131">
        <v>1975</v>
      </c>
      <c r="B131">
        <v>-65220756955351.898</v>
      </c>
      <c r="C131">
        <v>-5887305279673.3096</v>
      </c>
      <c r="D131">
        <v>-71108062235025.297</v>
      </c>
      <c r="E131">
        <v>238169730715989</v>
      </c>
      <c r="F131">
        <v>7799426984052.29</v>
      </c>
      <c r="G131">
        <v>245969157700041</v>
      </c>
      <c r="H131">
        <v>854835255289982</v>
      </c>
      <c r="I131">
        <v>1532904640661.45</v>
      </c>
      <c r="J131">
        <v>856368159930644</v>
      </c>
      <c r="K131">
        <v>2984249074615590</v>
      </c>
      <c r="L131">
        <v>560498633759569</v>
      </c>
      <c r="M131">
        <v>3544747708375160</v>
      </c>
      <c r="N131">
        <v>154148671278542</v>
      </c>
      <c r="O131">
        <v>60433001001128.703</v>
      </c>
      <c r="P131">
        <v>214581672279671</v>
      </c>
      <c r="Q131">
        <v>0</v>
      </c>
      <c r="R131">
        <v>0</v>
      </c>
      <c r="S131">
        <v>0</v>
      </c>
      <c r="T131">
        <v>0</v>
      </c>
      <c r="U131">
        <v>0</v>
      </c>
      <c r="V131">
        <v>0</v>
      </c>
      <c r="W131">
        <v>6088176830939340</v>
      </c>
      <c r="X131">
        <v>714735136089079</v>
      </c>
      <c r="Y131">
        <v>6802911967028420</v>
      </c>
      <c r="Z131">
        <v>6166058146686440</v>
      </c>
      <c r="AA131">
        <v>720721091414366</v>
      </c>
      <c r="AB131">
        <v>6886779238100800</v>
      </c>
      <c r="AC131">
        <v>1582029786095650</v>
      </c>
      <c r="AD131">
        <v>83318306585040.094</v>
      </c>
      <c r="AE131">
        <v>1665348092680690</v>
      </c>
      <c r="AF131">
        <v>277466042071057</v>
      </c>
      <c r="AG131">
        <v>1745938255661.3799</v>
      </c>
      <c r="AH131">
        <v>279211980326718</v>
      </c>
      <c r="AI131">
        <v>751862266641177</v>
      </c>
      <c r="AJ131">
        <v>78763605394286.797</v>
      </c>
      <c r="AK131">
        <v>830625872035464</v>
      </c>
      <c r="AL131">
        <v>764524538283693</v>
      </c>
      <c r="AM131">
        <v>78961690976429</v>
      </c>
      <c r="AN131">
        <v>843486229260122</v>
      </c>
      <c r="AO131">
        <v>5431775734733790</v>
      </c>
      <c r="AP131">
        <v>709261891765676</v>
      </c>
      <c r="AQ131">
        <v>6141037626499470</v>
      </c>
      <c r="AR131"/>
      <c r="AS131">
        <f t="shared" si="23"/>
        <v>6168781588664678</v>
      </c>
      <c r="AT131">
        <f t="shared" si="24"/>
        <v>713795306585451.5</v>
      </c>
      <c r="AU131">
        <f t="shared" si="24"/>
        <v>5949858611362280</v>
      </c>
      <c r="AV131">
        <f t="shared" si="27"/>
        <v>1.0004416828244964</v>
      </c>
      <c r="AW131">
        <f t="shared" si="25"/>
        <v>0.99039047849241779</v>
      </c>
      <c r="AX131">
        <f t="shared" si="25"/>
        <v>0.86395373013337673</v>
      </c>
      <c r="AY131"/>
      <c r="AZ131" s="24">
        <v>4019781160</v>
      </c>
      <c r="BA131">
        <f t="shared" si="26"/>
        <v>2033.9477540017429</v>
      </c>
      <c r="BB131">
        <f t="shared" si="26"/>
        <v>382.01400377519457</v>
      </c>
      <c r="BC131" s="23">
        <f t="shared" si="26"/>
        <v>2415.9617577769382</v>
      </c>
      <c r="BD131">
        <v>2396</v>
      </c>
      <c r="BE131"/>
    </row>
    <row r="132" spans="1:57" x14ac:dyDescent="0.3">
      <c r="A132">
        <v>1976</v>
      </c>
      <c r="B132">
        <v>-212468076483200</v>
      </c>
      <c r="C132">
        <v>1644681308656.21</v>
      </c>
      <c r="D132">
        <v>-210823395174544</v>
      </c>
      <c r="E132">
        <v>264760945187420</v>
      </c>
      <c r="F132">
        <v>7913248057471.71</v>
      </c>
      <c r="G132">
        <v>272674193244892</v>
      </c>
      <c r="H132">
        <v>915922440684833</v>
      </c>
      <c r="I132">
        <v>1504721076840.1599</v>
      </c>
      <c r="J132">
        <v>917427161761673</v>
      </c>
      <c r="K132">
        <v>3022494817225910</v>
      </c>
      <c r="L132">
        <v>576592977680669</v>
      </c>
      <c r="M132">
        <v>3599087794906580</v>
      </c>
      <c r="N132">
        <v>164733182595922</v>
      </c>
      <c r="O132">
        <v>62347439111606.797</v>
      </c>
      <c r="P132">
        <v>227080621707528</v>
      </c>
      <c r="Q132">
        <v>0</v>
      </c>
      <c r="R132">
        <v>0</v>
      </c>
      <c r="S132">
        <v>0</v>
      </c>
      <c r="T132">
        <v>0</v>
      </c>
      <c r="U132">
        <v>0</v>
      </c>
      <c r="V132">
        <v>0</v>
      </c>
      <c r="W132">
        <v>6284250991409530</v>
      </c>
      <c r="X132">
        <v>733316340561680</v>
      </c>
      <c r="Y132">
        <v>7017567331971210</v>
      </c>
      <c r="Z132">
        <v>6506253586786300</v>
      </c>
      <c r="AA132">
        <v>733918346837161</v>
      </c>
      <c r="AB132">
        <v>7240171933623460</v>
      </c>
      <c r="AC132">
        <v>1642016346089070</v>
      </c>
      <c r="AD132">
        <v>83612919458103.906</v>
      </c>
      <c r="AE132">
        <v>1725629265547170</v>
      </c>
      <c r="AF132">
        <v>276831362839526</v>
      </c>
      <c r="AG132">
        <v>1851442344493.54</v>
      </c>
      <c r="AH132">
        <v>278682805184019</v>
      </c>
      <c r="AI132">
        <v>822597390366832</v>
      </c>
      <c r="AJ132">
        <v>84576868293454.406</v>
      </c>
      <c r="AK132">
        <v>907174258660286</v>
      </c>
      <c r="AL132">
        <v>831893831153270</v>
      </c>
      <c r="AM132">
        <v>86775321383736.406</v>
      </c>
      <c r="AN132">
        <v>918669152537006</v>
      </c>
      <c r="AO132">
        <v>5738206687563490</v>
      </c>
      <c r="AP132">
        <v>723519468047015</v>
      </c>
      <c r="AQ132">
        <v>6461726155610500</v>
      </c>
      <c r="AR132"/>
      <c r="AS132">
        <f t="shared" si="23"/>
        <v>6508523611892319</v>
      </c>
      <c r="AT132">
        <f t="shared" si="24"/>
        <v>732318026652344.88</v>
      </c>
      <c r="AU132">
        <f t="shared" si="24"/>
        <v>6103154680590189</v>
      </c>
      <c r="AV132">
        <f t="shared" si="27"/>
        <v>1.0003488989593996</v>
      </c>
      <c r="AW132">
        <f t="shared" si="25"/>
        <v>0.99781948469920023</v>
      </c>
      <c r="AX132">
        <f t="shared" si="25"/>
        <v>0.84295714750185047</v>
      </c>
      <c r="AY132"/>
      <c r="AZ132" s="24">
        <v>4093147740</v>
      </c>
      <c r="BA132">
        <f t="shared" si="26"/>
        <v>2023.0903559877736</v>
      </c>
      <c r="BB132">
        <f t="shared" si="26"/>
        <v>385.93935242762979</v>
      </c>
      <c r="BC132" s="23">
        <f t="shared" si="26"/>
        <v>2409.029708415404</v>
      </c>
      <c r="BD132">
        <v>2389</v>
      </c>
      <c r="BE132"/>
    </row>
    <row r="133" spans="1:57" x14ac:dyDescent="0.3">
      <c r="A133">
        <v>1977</v>
      </c>
      <c r="B133">
        <v>-75995859770828.797</v>
      </c>
      <c r="C133">
        <v>-2944669818048.9102</v>
      </c>
      <c r="D133">
        <v>-78940529588877.703</v>
      </c>
      <c r="E133">
        <v>268873649802831</v>
      </c>
      <c r="F133">
        <v>8433396633787.2002</v>
      </c>
      <c r="G133">
        <v>277307046436618</v>
      </c>
      <c r="H133">
        <v>934628012413329</v>
      </c>
      <c r="I133">
        <v>1291059149851.01</v>
      </c>
      <c r="J133">
        <v>935919071563180</v>
      </c>
      <c r="K133">
        <v>3118455898965780</v>
      </c>
      <c r="L133">
        <v>585886718827735</v>
      </c>
      <c r="M133">
        <v>3704342617793520</v>
      </c>
      <c r="N133">
        <v>176443291881572</v>
      </c>
      <c r="O133">
        <v>62991765729080</v>
      </c>
      <c r="P133">
        <v>239435057610652</v>
      </c>
      <c r="Q133">
        <v>0</v>
      </c>
      <c r="R133">
        <v>0</v>
      </c>
      <c r="S133">
        <v>0</v>
      </c>
      <c r="T133">
        <v>0</v>
      </c>
      <c r="U133">
        <v>0</v>
      </c>
      <c r="V133">
        <v>0</v>
      </c>
      <c r="W133">
        <v>6515011338048830</v>
      </c>
      <c r="X133">
        <v>748010714892394</v>
      </c>
      <c r="Y133">
        <v>7263022052941220</v>
      </c>
      <c r="Z133">
        <v>6630574372499360</v>
      </c>
      <c r="AA133">
        <v>754890541293293</v>
      </c>
      <c r="AB133">
        <v>7385464913792650</v>
      </c>
      <c r="AC133">
        <v>1739205733392240</v>
      </c>
      <c r="AD133">
        <v>88008497736203.797</v>
      </c>
      <c r="AE133">
        <v>1827214231128450</v>
      </c>
      <c r="AF133">
        <v>281000225589268</v>
      </c>
      <c r="AG133">
        <v>2021278599830</v>
      </c>
      <c r="AH133">
        <v>283021504189098</v>
      </c>
      <c r="AI133">
        <v>826691342120364</v>
      </c>
      <c r="AJ133">
        <v>92235246597273.094</v>
      </c>
      <c r="AK133">
        <v>918926588717637</v>
      </c>
      <c r="AL133">
        <v>866142580792545</v>
      </c>
      <c r="AM133">
        <v>96285759312848.906</v>
      </c>
      <c r="AN133">
        <v>962428340105394</v>
      </c>
      <c r="AO133">
        <v>5816443653982830</v>
      </c>
      <c r="AP133">
        <v>744179902459023</v>
      </c>
      <c r="AQ133">
        <v>6560623556441850</v>
      </c>
      <c r="AR133"/>
      <c r="AS133">
        <f t="shared" si="23"/>
        <v>6634053910488030</v>
      </c>
      <c r="AT133">
        <f t="shared" si="24"/>
        <v>747341657526636</v>
      </c>
      <c r="AU133">
        <f t="shared" si="24"/>
        <v>6331320457158338</v>
      </c>
      <c r="AV133">
        <f t="shared" si="27"/>
        <v>1.0005247717306516</v>
      </c>
      <c r="AW133">
        <f t="shared" si="27"/>
        <v>0.99000002867472137</v>
      </c>
      <c r="AX133">
        <f t="shared" si="27"/>
        <v>0.85726769148064663</v>
      </c>
      <c r="AY133"/>
      <c r="AZ133" s="24">
        <v>4165875770</v>
      </c>
      <c r="BA133">
        <f t="shared" si="26"/>
        <v>2050.8808383614059</v>
      </c>
      <c r="BB133">
        <f t="shared" si="26"/>
        <v>385.31372064384101</v>
      </c>
      <c r="BC133" s="23">
        <f t="shared" si="26"/>
        <v>2436.1945590052505</v>
      </c>
      <c r="BD133">
        <v>2418</v>
      </c>
      <c r="BE133"/>
    </row>
    <row r="134" spans="1:57" x14ac:dyDescent="0.3">
      <c r="A134">
        <v>1978</v>
      </c>
      <c r="B134">
        <v>-227542841318300</v>
      </c>
      <c r="C134">
        <v>-921760100964.88696</v>
      </c>
      <c r="D134">
        <v>-228464601419265</v>
      </c>
      <c r="E134">
        <v>282231736469448</v>
      </c>
      <c r="F134">
        <v>8483180925898.7002</v>
      </c>
      <c r="G134">
        <v>290714917395346</v>
      </c>
      <c r="H134">
        <v>979041916059925</v>
      </c>
      <c r="I134">
        <v>1351051550030.95</v>
      </c>
      <c r="J134">
        <v>980392967609956</v>
      </c>
      <c r="K134">
        <v>3250966696183320</v>
      </c>
      <c r="L134">
        <v>605819599719800</v>
      </c>
      <c r="M134">
        <v>3856786295903120</v>
      </c>
      <c r="N134">
        <v>198044159769008</v>
      </c>
      <c r="O134">
        <v>66287448999255.898</v>
      </c>
      <c r="P134">
        <v>264331608768264</v>
      </c>
      <c r="Q134">
        <v>0</v>
      </c>
      <c r="R134">
        <v>0</v>
      </c>
      <c r="S134">
        <v>0</v>
      </c>
      <c r="T134">
        <v>0</v>
      </c>
      <c r="U134">
        <v>0</v>
      </c>
      <c r="V134">
        <v>0</v>
      </c>
      <c r="W134">
        <v>6832820116962310</v>
      </c>
      <c r="X134">
        <v>773448342192985</v>
      </c>
      <c r="Y134">
        <v>7606268459155300</v>
      </c>
      <c r="Z134">
        <v>7092954470338620</v>
      </c>
      <c r="AA134">
        <v>777559200561179</v>
      </c>
      <c r="AB134">
        <v>7870513670899790</v>
      </c>
      <c r="AC134">
        <v>1845171832377430</v>
      </c>
      <c r="AD134">
        <v>90022357695469.297</v>
      </c>
      <c r="AE134">
        <v>1935194190072900</v>
      </c>
      <c r="AF134">
        <v>280144380602878</v>
      </c>
      <c r="AG134">
        <v>2138999622642.0801</v>
      </c>
      <c r="AH134">
        <v>282283380225520</v>
      </c>
      <c r="AI134">
        <v>920602353918391</v>
      </c>
      <c r="AJ134">
        <v>96924372930730.906</v>
      </c>
      <c r="AK134">
        <v>1017526726849120</v>
      </c>
      <c r="AL134">
        <v>952911122185931</v>
      </c>
      <c r="AM134">
        <v>100025531227623</v>
      </c>
      <c r="AN134">
        <v>1052936653413550</v>
      </c>
      <c r="AO134">
        <v>6234610190064930</v>
      </c>
      <c r="AP134">
        <v>765708347844300</v>
      </c>
      <c r="AQ134">
        <v>7000318537909230</v>
      </c>
      <c r="AR134"/>
      <c r="AS134">
        <f t="shared" si="23"/>
        <v>7095452331047849</v>
      </c>
      <c r="AT134">
        <f t="shared" si="24"/>
        <v>772751586963066</v>
      </c>
      <c r="AU134">
        <f t="shared" si="24"/>
        <v>6629310392365150</v>
      </c>
      <c r="AV134">
        <f t="shared" si="27"/>
        <v>1.0003521608265884</v>
      </c>
      <c r="AW134">
        <f t="shared" si="27"/>
        <v>0.99381704493414358</v>
      </c>
      <c r="AX134">
        <f t="shared" si="27"/>
        <v>0.84229704306037489</v>
      </c>
      <c r="AY134"/>
      <c r="AZ134" s="24">
        <v>4238646730.0000005</v>
      </c>
      <c r="BA134">
        <f t="shared" si="26"/>
        <v>2101.3211619396084</v>
      </c>
      <c r="BB134">
        <f t="shared" si="26"/>
        <v>391.58246274978563</v>
      </c>
      <c r="BC134" s="23">
        <f t="shared" si="26"/>
        <v>2492.9036246893943</v>
      </c>
      <c r="BD134">
        <v>2477</v>
      </c>
      <c r="BE134"/>
    </row>
    <row r="135" spans="1:57" x14ac:dyDescent="0.3">
      <c r="A135">
        <v>1979</v>
      </c>
      <c r="B135">
        <v>-64697388314662.203</v>
      </c>
      <c r="C135">
        <v>2701729904378.77</v>
      </c>
      <c r="D135">
        <v>-61995658410283.398</v>
      </c>
      <c r="E135">
        <v>282583201819850</v>
      </c>
      <c r="F135">
        <v>8895629489482.8008</v>
      </c>
      <c r="G135">
        <v>291478831309332</v>
      </c>
      <c r="H135">
        <v>997761239437643</v>
      </c>
      <c r="I135">
        <v>1602957143226.77</v>
      </c>
      <c r="J135">
        <v>999364196580870</v>
      </c>
      <c r="K135">
        <v>3295047528236730</v>
      </c>
      <c r="L135">
        <v>628018307615677</v>
      </c>
      <c r="M135">
        <v>3923065835852410</v>
      </c>
      <c r="N135">
        <v>190351669089704</v>
      </c>
      <c r="O135">
        <v>67559648735279.602</v>
      </c>
      <c r="P135">
        <v>257911317824984</v>
      </c>
      <c r="Q135">
        <v>0</v>
      </c>
      <c r="R135">
        <v>0</v>
      </c>
      <c r="S135">
        <v>0</v>
      </c>
      <c r="T135">
        <v>0</v>
      </c>
      <c r="U135">
        <v>0</v>
      </c>
      <c r="V135">
        <v>0</v>
      </c>
      <c r="W135">
        <v>6946017142484950</v>
      </c>
      <c r="X135">
        <v>798891668495507</v>
      </c>
      <c r="Y135">
        <v>7744908810980460</v>
      </c>
      <c r="Z135">
        <v>7009886641549050</v>
      </c>
      <c r="AA135">
        <v>799874263392068</v>
      </c>
      <c r="AB135">
        <v>7809760904941110</v>
      </c>
      <c r="AC135">
        <v>1903344964632640</v>
      </c>
      <c r="AD135">
        <v>91001162170816</v>
      </c>
      <c r="AE135">
        <v>1994346126803460</v>
      </c>
      <c r="AF135">
        <v>280616070476792</v>
      </c>
      <c r="AG135">
        <v>2281064704924.6899</v>
      </c>
      <c r="AH135">
        <v>282897135181716</v>
      </c>
      <c r="AI135">
        <v>992359410576559</v>
      </c>
      <c r="AJ135">
        <v>103776713177431</v>
      </c>
      <c r="AK135">
        <v>1096136123753990</v>
      </c>
      <c r="AL135">
        <v>991395341586022</v>
      </c>
      <c r="AM135">
        <v>107411124703792</v>
      </c>
      <c r="AN135">
        <v>1098806466289810</v>
      </c>
      <c r="AO135">
        <v>6159449818939110</v>
      </c>
      <c r="AP135">
        <v>787507666440302</v>
      </c>
      <c r="AQ135">
        <v>6946957485379410</v>
      </c>
      <c r="AR135"/>
      <c r="AS135">
        <f t="shared" si="23"/>
        <v>7013437993017484</v>
      </c>
      <c r="AT135">
        <f t="shared" si="24"/>
        <v>797755812716180.13</v>
      </c>
      <c r="AU135">
        <f t="shared" si="24"/>
        <v>6749699246971902</v>
      </c>
      <c r="AV135">
        <f t="shared" si="27"/>
        <v>1.0005066203848982</v>
      </c>
      <c r="AW135">
        <f t="shared" si="27"/>
        <v>0.99735152039158748</v>
      </c>
      <c r="AX135">
        <f t="shared" si="27"/>
        <v>0.86426451835439366</v>
      </c>
      <c r="AY135"/>
      <c r="AZ135" s="24">
        <v>4312447330</v>
      </c>
      <c r="BA135">
        <f t="shared" si="26"/>
        <v>2093.3652712278295</v>
      </c>
      <c r="BB135">
        <f t="shared" si="26"/>
        <v>398.98414320034124</v>
      </c>
      <c r="BC135" s="23">
        <f t="shared" si="26"/>
        <v>2492.3494144281726</v>
      </c>
      <c r="BD135">
        <v>2476</v>
      </c>
      <c r="BE135"/>
    </row>
    <row r="136" spans="1:57" x14ac:dyDescent="0.3">
      <c r="A136">
        <v>1980</v>
      </c>
      <c r="B136">
        <v>91894773607378.203</v>
      </c>
      <c r="C136">
        <v>-165549683887.85699</v>
      </c>
      <c r="D136">
        <v>91729223923490.406</v>
      </c>
      <c r="E136">
        <v>297690459647599</v>
      </c>
      <c r="F136">
        <v>9199880124323.6406</v>
      </c>
      <c r="G136">
        <v>306890339771923</v>
      </c>
      <c r="H136">
        <v>1021751171710720</v>
      </c>
      <c r="I136">
        <v>1330937192529.9199</v>
      </c>
      <c r="J136">
        <v>1023082108903250</v>
      </c>
      <c r="K136">
        <v>3363805791291130</v>
      </c>
      <c r="L136">
        <v>643467225294718</v>
      </c>
      <c r="M136">
        <v>4007273016585850</v>
      </c>
      <c r="N136">
        <v>219750198100444</v>
      </c>
      <c r="O136">
        <v>67623555927563.398</v>
      </c>
      <c r="P136">
        <v>287373754028007</v>
      </c>
      <c r="Q136">
        <v>0</v>
      </c>
      <c r="R136">
        <v>0</v>
      </c>
      <c r="S136">
        <v>0</v>
      </c>
      <c r="T136">
        <v>0</v>
      </c>
      <c r="U136">
        <v>0</v>
      </c>
      <c r="V136">
        <v>0</v>
      </c>
      <c r="W136">
        <v>7057654122739520</v>
      </c>
      <c r="X136">
        <v>812578920110898</v>
      </c>
      <c r="Y136">
        <v>7870233042850420</v>
      </c>
      <c r="Z136">
        <v>6993157048929730</v>
      </c>
      <c r="AA136">
        <v>816088240631503</v>
      </c>
      <c r="AB136">
        <v>7809245289561230</v>
      </c>
      <c r="AC136">
        <v>1876885732860840</v>
      </c>
      <c r="AD136">
        <v>88896101433293.094</v>
      </c>
      <c r="AE136">
        <v>1965781834294130</v>
      </c>
      <c r="AF136">
        <v>281237516401586</v>
      </c>
      <c r="AG136">
        <v>2527881247145.0698</v>
      </c>
      <c r="AH136">
        <v>283765397648731</v>
      </c>
      <c r="AI136">
        <v>1066311706725170</v>
      </c>
      <c r="AJ136">
        <v>107498254817966</v>
      </c>
      <c r="AK136">
        <v>1173809961543140</v>
      </c>
      <c r="AL136">
        <v>1093518289500410</v>
      </c>
      <c r="AM136">
        <v>110799170434323</v>
      </c>
      <c r="AN136">
        <v>1204317459934740</v>
      </c>
      <c r="AO136">
        <v>6095691210632830</v>
      </c>
      <c r="AP136">
        <v>803771452778084</v>
      </c>
      <c r="AQ136">
        <v>6899462663410910</v>
      </c>
      <c r="AR136"/>
      <c r="AS136">
        <f t="shared" si="23"/>
        <v>6996432679180181</v>
      </c>
      <c r="AT136">
        <f t="shared" si="24"/>
        <v>811714644027043.25</v>
      </c>
      <c r="AU136">
        <f t="shared" si="24"/>
        <v>6851084342328641</v>
      </c>
      <c r="AV136">
        <f t="shared" si="27"/>
        <v>1.0004684050747799</v>
      </c>
      <c r="AW136">
        <f t="shared" si="27"/>
        <v>0.99464077977514365</v>
      </c>
      <c r="AX136">
        <f t="shared" si="27"/>
        <v>0.87730428335842114</v>
      </c>
      <c r="AY136"/>
      <c r="AZ136" s="24">
        <v>4387992620</v>
      </c>
      <c r="BA136">
        <f t="shared" si="26"/>
        <v>2100.2556466263941</v>
      </c>
      <c r="BB136">
        <f t="shared" si="26"/>
        <v>401.76090927815545</v>
      </c>
      <c r="BC136" s="23">
        <f t="shared" si="26"/>
        <v>2502.0165559045508</v>
      </c>
      <c r="BD136">
        <v>2490</v>
      </c>
      <c r="BE136"/>
    </row>
    <row r="137" spans="1:57" x14ac:dyDescent="0.3">
      <c r="A137">
        <v>1981</v>
      </c>
      <c r="B137">
        <v>-146748100625424</v>
      </c>
      <c r="C137">
        <v>-5312356781055.9902</v>
      </c>
      <c r="D137">
        <v>-152060457406480</v>
      </c>
      <c r="E137">
        <v>284543366662591</v>
      </c>
      <c r="F137">
        <v>9723436277943.6992</v>
      </c>
      <c r="G137">
        <v>294266802940534</v>
      </c>
      <c r="H137">
        <v>1067371220108070</v>
      </c>
      <c r="I137">
        <v>1129015830935.05</v>
      </c>
      <c r="J137">
        <v>1068500235939010</v>
      </c>
      <c r="K137">
        <v>3441899645573470</v>
      </c>
      <c r="L137">
        <v>651223561755828</v>
      </c>
      <c r="M137">
        <v>4093123207329300</v>
      </c>
      <c r="N137">
        <v>239628144952098</v>
      </c>
      <c r="O137">
        <v>65975276484425.398</v>
      </c>
      <c r="P137">
        <v>305603421436523</v>
      </c>
      <c r="Q137">
        <v>0</v>
      </c>
      <c r="R137">
        <v>0</v>
      </c>
      <c r="S137">
        <v>0</v>
      </c>
      <c r="T137">
        <v>0</v>
      </c>
      <c r="U137">
        <v>0</v>
      </c>
      <c r="V137">
        <v>0</v>
      </c>
      <c r="W137">
        <v>7210305518868230</v>
      </c>
      <c r="X137">
        <v>817254379821747</v>
      </c>
      <c r="Y137">
        <v>8027559898689980</v>
      </c>
      <c r="Z137">
        <v>7385250043227900</v>
      </c>
      <c r="AA137">
        <v>824703127255281</v>
      </c>
      <c r="AB137">
        <v>8209953170483190</v>
      </c>
      <c r="AC137">
        <v>1897508692126250</v>
      </c>
      <c r="AD137">
        <v>87352414737613.203</v>
      </c>
      <c r="AE137">
        <v>1984861106863870</v>
      </c>
      <c r="AF137">
        <v>283126639849536</v>
      </c>
      <c r="AG137">
        <v>2413823783886.1299</v>
      </c>
      <c r="AH137">
        <v>285540463633423</v>
      </c>
      <c r="AI137">
        <v>1118706137338490</v>
      </c>
      <c r="AJ137">
        <v>109364236852999</v>
      </c>
      <c r="AK137">
        <v>1228070374191480</v>
      </c>
      <c r="AL137">
        <v>1146803208258200</v>
      </c>
      <c r="AM137">
        <v>111536533041620</v>
      </c>
      <c r="AN137">
        <v>1258339741299820</v>
      </c>
      <c r="AO137">
        <v>6442702905168080</v>
      </c>
      <c r="AP137">
        <v>812959100832289</v>
      </c>
      <c r="AQ137">
        <v>7255662006000370</v>
      </c>
      <c r="AR137"/>
      <c r="AS137">
        <f t="shared" si="23"/>
        <v>7388922880817149</v>
      </c>
      <c r="AT137">
        <f t="shared" ref="AT137:AU173" si="28">+F137+L137+O137+AD137+AG137+I137+AM137+R137+U137-C137-AJ137</f>
        <v>825302181840308.5</v>
      </c>
      <c r="AU137">
        <f t="shared" si="28"/>
        <v>8214225062657480</v>
      </c>
      <c r="AV137">
        <f t="shared" si="27"/>
        <v>1.0004973206821368</v>
      </c>
      <c r="AW137">
        <f t="shared" si="27"/>
        <v>1.0007263881574224</v>
      </c>
      <c r="AX137">
        <f t="shared" si="27"/>
        <v>1.0005203308819894</v>
      </c>
      <c r="AY137"/>
      <c r="AZ137" s="24">
        <v>4465337690</v>
      </c>
      <c r="BA137">
        <f t="shared" si="26"/>
        <v>2111.7914696093321</v>
      </c>
      <c r="BB137">
        <f t="shared" si="26"/>
        <v>399.56085421991656</v>
      </c>
      <c r="BC137" s="23">
        <f t="shared" si="26"/>
        <v>2511.3523238292501</v>
      </c>
      <c r="BD137">
        <v>2501</v>
      </c>
      <c r="BE137"/>
    </row>
    <row r="138" spans="1:57" x14ac:dyDescent="0.3">
      <c r="A138">
        <v>1982</v>
      </c>
      <c r="B138">
        <v>-212544817421189</v>
      </c>
      <c r="C138">
        <v>-4876274132466.6201</v>
      </c>
      <c r="D138">
        <v>-217421091553656</v>
      </c>
      <c r="E138">
        <v>301436230196198</v>
      </c>
      <c r="F138">
        <v>10738227484570.699</v>
      </c>
      <c r="G138">
        <v>312174457680769</v>
      </c>
      <c r="H138">
        <v>1126375335033380</v>
      </c>
      <c r="I138">
        <v>1439479691436.9399</v>
      </c>
      <c r="J138">
        <v>1127814814724820</v>
      </c>
      <c r="K138">
        <v>3554045127638570</v>
      </c>
      <c r="L138">
        <v>658061660966654</v>
      </c>
      <c r="M138">
        <v>4212106788605220</v>
      </c>
      <c r="N138">
        <v>274645596882941</v>
      </c>
      <c r="O138">
        <v>67039592843517.5</v>
      </c>
      <c r="P138">
        <v>341685189726458</v>
      </c>
      <c r="Q138">
        <v>0</v>
      </c>
      <c r="R138">
        <v>0</v>
      </c>
      <c r="S138">
        <v>0</v>
      </c>
      <c r="T138">
        <v>0</v>
      </c>
      <c r="U138">
        <v>0</v>
      </c>
      <c r="V138">
        <v>0</v>
      </c>
      <c r="W138">
        <v>7490371920975390</v>
      </c>
      <c r="X138">
        <v>831594061472294</v>
      </c>
      <c r="Y138">
        <v>8321965982447690</v>
      </c>
      <c r="Z138">
        <v>7707859973579780</v>
      </c>
      <c r="AA138">
        <v>837663614854108</v>
      </c>
      <c r="AB138">
        <v>8545523588433890</v>
      </c>
      <c r="AC138">
        <v>1956529146515870</v>
      </c>
      <c r="AD138">
        <v>92186656990721.797</v>
      </c>
      <c r="AE138">
        <v>2048715803506600</v>
      </c>
      <c r="AF138">
        <v>280041121014881</v>
      </c>
      <c r="AG138">
        <v>2486564784185.48</v>
      </c>
      <c r="AH138">
        <v>282527685799067</v>
      </c>
      <c r="AI138">
        <v>1122144729812670</v>
      </c>
      <c r="AJ138">
        <v>111463364729619</v>
      </c>
      <c r="AK138">
        <v>1233608094542290</v>
      </c>
      <c r="AL138">
        <v>1126733829193460</v>
      </c>
      <c r="AM138">
        <v>112492022066865</v>
      </c>
      <c r="AN138">
        <v>1239225851260330</v>
      </c>
      <c r="AO138">
        <v>6696170187208710</v>
      </c>
      <c r="AP138">
        <v>824402439652175</v>
      </c>
      <c r="AQ138">
        <v>7520572626860880</v>
      </c>
      <c r="AR138"/>
      <c r="AS138">
        <f t="shared" si="23"/>
        <v>7710206474083819</v>
      </c>
      <c r="AT138">
        <f t="shared" si="28"/>
        <v>837857114230799.13</v>
      </c>
      <c r="AU138">
        <f t="shared" si="28"/>
        <v>8548063588314630</v>
      </c>
      <c r="AV138">
        <f t="shared" si="27"/>
        <v>1.0003044295708643</v>
      </c>
      <c r="AW138">
        <f t="shared" si="27"/>
        <v>1.0002309989036886</v>
      </c>
      <c r="AX138">
        <f t="shared" si="27"/>
        <v>1.000297231627115</v>
      </c>
      <c r="AY138"/>
      <c r="AZ138" s="24">
        <v>4544306480</v>
      </c>
      <c r="BA138">
        <f t="shared" si="26"/>
        <v>2142.7053790473674</v>
      </c>
      <c r="BB138">
        <f t="shared" si="26"/>
        <v>396.74011163582736</v>
      </c>
      <c r="BC138" s="23">
        <f t="shared" si="26"/>
        <v>2539.4454906831925</v>
      </c>
      <c r="BD138">
        <v>2531</v>
      </c>
      <c r="BE138"/>
    </row>
    <row r="139" spans="1:57" x14ac:dyDescent="0.3">
      <c r="A139">
        <v>1983</v>
      </c>
      <c r="B139">
        <v>215378515653186</v>
      </c>
      <c r="C139">
        <v>-5134758702548.96</v>
      </c>
      <c r="D139">
        <v>210243756950637</v>
      </c>
      <c r="E139">
        <v>307233581305144</v>
      </c>
      <c r="F139">
        <v>10368910259418.699</v>
      </c>
      <c r="G139">
        <v>317602491564563</v>
      </c>
      <c r="H139">
        <v>1125326920767260</v>
      </c>
      <c r="I139">
        <v>1381607961960.6399</v>
      </c>
      <c r="J139">
        <v>1126708528729220</v>
      </c>
      <c r="K139">
        <v>3680850025016990</v>
      </c>
      <c r="L139">
        <v>679240269598152</v>
      </c>
      <c r="M139">
        <v>4360090294615150</v>
      </c>
      <c r="N139">
        <v>294552781065156</v>
      </c>
      <c r="O139">
        <v>68722663022878.602</v>
      </c>
      <c r="P139">
        <v>363275444088034</v>
      </c>
      <c r="Q139">
        <v>0</v>
      </c>
      <c r="R139">
        <v>0</v>
      </c>
      <c r="S139">
        <v>0</v>
      </c>
      <c r="T139">
        <v>0</v>
      </c>
      <c r="U139">
        <v>0</v>
      </c>
      <c r="V139">
        <v>0</v>
      </c>
      <c r="W139">
        <v>7623676230694850</v>
      </c>
      <c r="X139">
        <v>858656974124516</v>
      </c>
      <c r="Y139">
        <v>8482333204819360</v>
      </c>
      <c r="Z139">
        <v>7448592602355470</v>
      </c>
      <c r="AA139">
        <v>865446486858200</v>
      </c>
      <c r="AB139">
        <v>8314039089213670</v>
      </c>
      <c r="AC139">
        <v>1931781620477340</v>
      </c>
      <c r="AD139">
        <v>96740071419000.703</v>
      </c>
      <c r="AE139">
        <v>2028521691896340</v>
      </c>
      <c r="AF139">
        <v>286404916277995</v>
      </c>
      <c r="AG139">
        <v>2484860836342.27</v>
      </c>
      <c r="AH139">
        <v>288889777114337</v>
      </c>
      <c r="AI139">
        <v>1091985265880110</v>
      </c>
      <c r="AJ139">
        <v>111893344404967</v>
      </c>
      <c r="AK139">
        <v>1203878610285080</v>
      </c>
      <c r="AL139">
        <v>1132095637071200</v>
      </c>
      <c r="AM139">
        <v>113550976179243</v>
      </c>
      <c r="AN139">
        <v>1245646613250440</v>
      </c>
      <c r="AO139">
        <v>6430558594791240</v>
      </c>
      <c r="AP139">
        <v>854003688923978</v>
      </c>
      <c r="AQ139">
        <v>7284562283715220</v>
      </c>
      <c r="AR139"/>
      <c r="AS139">
        <f t="shared" si="23"/>
        <v>7450881700447789</v>
      </c>
      <c r="AT139">
        <f t="shared" si="28"/>
        <v>865730773574578</v>
      </c>
      <c r="AU139">
        <f t="shared" si="28"/>
        <v>8316612474022368</v>
      </c>
      <c r="AV139">
        <f t="shared" si="27"/>
        <v>1.0003073195453858</v>
      </c>
      <c r="AW139">
        <f t="shared" si="27"/>
        <v>1.0003284856090988</v>
      </c>
      <c r="AX139">
        <f t="shared" si="27"/>
        <v>1.0003095228181014</v>
      </c>
      <c r="AY139"/>
      <c r="AZ139" s="24">
        <v>4625208360</v>
      </c>
      <c r="BA139">
        <f t="shared" si="26"/>
        <v>2180.3386640261338</v>
      </c>
      <c r="BB139">
        <f t="shared" si="26"/>
        <v>402.34560275558897</v>
      </c>
      <c r="BC139" s="23">
        <f t="shared" si="26"/>
        <v>2582.6842667817273</v>
      </c>
      <c r="BD139">
        <v>2575</v>
      </c>
      <c r="BE139"/>
    </row>
    <row r="140" spans="1:57" x14ac:dyDescent="0.3">
      <c r="A140">
        <v>1984</v>
      </c>
      <c r="B140">
        <v>-197187459145207</v>
      </c>
      <c r="C140">
        <v>2439995675547.5298</v>
      </c>
      <c r="D140">
        <v>-194747463469660</v>
      </c>
      <c r="E140">
        <v>319585687218968</v>
      </c>
      <c r="F140">
        <v>10504736756617.6</v>
      </c>
      <c r="G140">
        <v>330090423975586</v>
      </c>
      <c r="H140">
        <v>1133330139357470</v>
      </c>
      <c r="I140">
        <v>1900416051657.8999</v>
      </c>
      <c r="J140">
        <v>1135230555409130</v>
      </c>
      <c r="K140">
        <v>3754228181317370</v>
      </c>
      <c r="L140">
        <v>698392286240592</v>
      </c>
      <c r="M140">
        <v>4452620467557960</v>
      </c>
      <c r="N140">
        <v>308654572988744</v>
      </c>
      <c r="O140">
        <v>75193356852200.797</v>
      </c>
      <c r="P140">
        <v>383847929840945</v>
      </c>
      <c r="Q140">
        <v>0</v>
      </c>
      <c r="R140">
        <v>0</v>
      </c>
      <c r="S140">
        <v>0</v>
      </c>
      <c r="T140">
        <v>0</v>
      </c>
      <c r="U140">
        <v>0</v>
      </c>
      <c r="V140">
        <v>0</v>
      </c>
      <c r="W140">
        <v>7836828831530400</v>
      </c>
      <c r="X140">
        <v>888297751072787</v>
      </c>
      <c r="Y140">
        <v>8725126582603180</v>
      </c>
      <c r="Z140">
        <v>8067658082436400</v>
      </c>
      <c r="AA140">
        <v>889468140012075</v>
      </c>
      <c r="AB140">
        <v>8957126222448470</v>
      </c>
      <c r="AC140">
        <v>2040342278237510</v>
      </c>
      <c r="AD140">
        <v>100018979626434</v>
      </c>
      <c r="AE140">
        <v>2140361257863940</v>
      </c>
      <c r="AF140">
        <v>285594819033864</v>
      </c>
      <c r="AG140">
        <v>2606763246063.2202</v>
      </c>
      <c r="AH140">
        <v>288201582279927</v>
      </c>
      <c r="AI140">
        <v>1139614369623790</v>
      </c>
      <c r="AJ140">
        <v>118858279208263</v>
      </c>
      <c r="AK140">
        <v>1258472648832050</v>
      </c>
      <c r="AL140">
        <v>1172826096371080</v>
      </c>
      <c r="AM140">
        <v>122545128268326</v>
      </c>
      <c r="AN140">
        <v>1295371224639410</v>
      </c>
      <c r="AO140">
        <v>7027200514841450</v>
      </c>
      <c r="AP140">
        <v>874186502470618</v>
      </c>
      <c r="AQ140">
        <v>7901387017312070</v>
      </c>
      <c r="AR140"/>
      <c r="AS140">
        <f t="shared" si="23"/>
        <v>8072134864046422</v>
      </c>
      <c r="AT140">
        <f t="shared" si="28"/>
        <v>889863392158081</v>
      </c>
      <c r="AU140">
        <f t="shared" si="28"/>
        <v>8961998256204508</v>
      </c>
      <c r="AV140">
        <f t="shared" si="27"/>
        <v>1.0005549047275277</v>
      </c>
      <c r="AW140">
        <f t="shared" si="27"/>
        <v>1.000444369087802</v>
      </c>
      <c r="AX140">
        <f t="shared" si="27"/>
        <v>1.0005439282237452</v>
      </c>
      <c r="AY140"/>
      <c r="AZ140" s="24">
        <v>4708344330</v>
      </c>
      <c r="BA140">
        <f t="shared" si="26"/>
        <v>2184.5379055238891</v>
      </c>
      <c r="BB140">
        <f t="shared" si="26"/>
        <v>406.38564001261722</v>
      </c>
      <c r="BC140" s="23">
        <f t="shared" si="26"/>
        <v>2590.9235455365051</v>
      </c>
      <c r="BD140">
        <v>2584</v>
      </c>
      <c r="BE140"/>
    </row>
    <row r="141" spans="1:57" x14ac:dyDescent="0.3">
      <c r="A141">
        <v>1985</v>
      </c>
      <c r="B141">
        <v>-279121945329642</v>
      </c>
      <c r="C141">
        <v>1032772147157.14</v>
      </c>
      <c r="D141">
        <v>-278089173182485</v>
      </c>
      <c r="E141">
        <v>324303751851958</v>
      </c>
      <c r="F141">
        <v>11023200247981.801</v>
      </c>
      <c r="G141">
        <v>335326952099940</v>
      </c>
      <c r="H141">
        <v>1150669176992220</v>
      </c>
      <c r="I141">
        <v>1647557703115.54</v>
      </c>
      <c r="J141">
        <v>1152316734695340</v>
      </c>
      <c r="K141">
        <v>3814120485450210</v>
      </c>
      <c r="L141">
        <v>725302556500539</v>
      </c>
      <c r="M141">
        <v>4539423041950750</v>
      </c>
      <c r="N141">
        <v>324602466943201</v>
      </c>
      <c r="O141">
        <v>73780497148820.297</v>
      </c>
      <c r="P141">
        <v>398382964092021</v>
      </c>
      <c r="Q141">
        <v>0</v>
      </c>
      <c r="R141">
        <v>0</v>
      </c>
      <c r="S141">
        <v>0</v>
      </c>
      <c r="T141">
        <v>0</v>
      </c>
      <c r="U141">
        <v>0</v>
      </c>
      <c r="V141">
        <v>0</v>
      </c>
      <c r="W141">
        <v>7926496613907850</v>
      </c>
      <c r="X141">
        <v>911896366126027</v>
      </c>
      <c r="Y141">
        <v>8838392980033880</v>
      </c>
      <c r="Z141">
        <v>8235374938308900</v>
      </c>
      <c r="AA141">
        <v>910900021373054</v>
      </c>
      <c r="AB141">
        <v>9146274959681950</v>
      </c>
      <c r="AC141">
        <v>2032349362744650</v>
      </c>
      <c r="AD141">
        <v>98081352457800.203</v>
      </c>
      <c r="AE141">
        <v>2130430715202450</v>
      </c>
      <c r="AF141">
        <v>286083364116822</v>
      </c>
      <c r="AG141">
        <v>2742316646576.2798</v>
      </c>
      <c r="AH141">
        <v>288825680763398</v>
      </c>
      <c r="AI141">
        <v>1136472127347650</v>
      </c>
      <c r="AJ141">
        <v>125546228029998</v>
      </c>
      <c r="AK141">
        <v>1262018355377650</v>
      </c>
      <c r="AL141">
        <v>1166128065139050</v>
      </c>
      <c r="AM141">
        <v>125440382904652</v>
      </c>
      <c r="AN141">
        <v>1291568448043710</v>
      </c>
      <c r="AO141">
        <v>7169399117599900</v>
      </c>
      <c r="AP141">
        <v>895928244756772</v>
      </c>
      <c r="AQ141">
        <v>8065327362356670</v>
      </c>
      <c r="AR141"/>
      <c r="AS141">
        <f t="shared" si="23"/>
        <v>8240906491220104</v>
      </c>
      <c r="AT141">
        <f t="shared" si="28"/>
        <v>911438863432329.88</v>
      </c>
      <c r="AU141">
        <f t="shared" si="28"/>
        <v>9152345354652442</v>
      </c>
      <c r="AV141">
        <f t="shared" si="27"/>
        <v>1.000671681975944</v>
      </c>
      <c r="AW141">
        <f t="shared" si="27"/>
        <v>1.0005915490686492</v>
      </c>
      <c r="AX141">
        <f t="shared" si="27"/>
        <v>1.0006637013425959</v>
      </c>
      <c r="AY141"/>
      <c r="AZ141" s="24">
        <v>4793812630</v>
      </c>
      <c r="BA141">
        <f t="shared" si="26"/>
        <v>2179.81927374934</v>
      </c>
      <c r="BB141">
        <f t="shared" si="26"/>
        <v>414.51980816828433</v>
      </c>
      <c r="BC141" s="23">
        <f t="shared" si="26"/>
        <v>2594.3390819176248</v>
      </c>
      <c r="BD141">
        <v>2587</v>
      </c>
      <c r="BE141"/>
    </row>
    <row r="142" spans="1:57" x14ac:dyDescent="0.3">
      <c r="A142">
        <v>1986</v>
      </c>
      <c r="B142">
        <v>-141943371920581</v>
      </c>
      <c r="C142">
        <v>-4893107329426.2695</v>
      </c>
      <c r="D142">
        <v>-146836479250007</v>
      </c>
      <c r="E142">
        <v>331612647223020</v>
      </c>
      <c r="F142">
        <v>11907460750163.801</v>
      </c>
      <c r="G142">
        <v>343520107973184</v>
      </c>
      <c r="H142">
        <v>1167610196514800</v>
      </c>
      <c r="I142">
        <v>1202061132765.79</v>
      </c>
      <c r="J142">
        <v>1168812257647570</v>
      </c>
      <c r="K142">
        <v>3891140266547030</v>
      </c>
      <c r="L142">
        <v>734971054957164</v>
      </c>
      <c r="M142">
        <v>4626111321504190</v>
      </c>
      <c r="N142">
        <v>305806429452359</v>
      </c>
      <c r="O142">
        <v>77187577804364.5</v>
      </c>
      <c r="P142">
        <v>382994007256724</v>
      </c>
      <c r="Q142">
        <v>0</v>
      </c>
      <c r="R142">
        <v>0</v>
      </c>
      <c r="S142">
        <v>0</v>
      </c>
      <c r="T142">
        <v>0</v>
      </c>
      <c r="U142">
        <v>0</v>
      </c>
      <c r="V142">
        <v>0</v>
      </c>
      <c r="W142">
        <v>8079056729561800</v>
      </c>
      <c r="X142">
        <v>928744561057396</v>
      </c>
      <c r="Y142">
        <v>9007801290619200</v>
      </c>
      <c r="Z142">
        <v>8263018583626520</v>
      </c>
      <c r="AA142">
        <v>934761297752893</v>
      </c>
      <c r="AB142">
        <v>9197779881379420</v>
      </c>
      <c r="AC142">
        <v>2105228500231470</v>
      </c>
      <c r="AD142">
        <v>101061909569479</v>
      </c>
      <c r="AE142">
        <v>2206290409800950</v>
      </c>
      <c r="AF142">
        <v>281513189363862</v>
      </c>
      <c r="AG142">
        <v>2898044805518.5801</v>
      </c>
      <c r="AH142">
        <v>284411234169380</v>
      </c>
      <c r="AI142">
        <v>1085147947019160</v>
      </c>
      <c r="AJ142">
        <v>126897987301425</v>
      </c>
      <c r="AK142">
        <v>1212045934320580</v>
      </c>
      <c r="AL142">
        <v>1127169994108590</v>
      </c>
      <c r="AM142">
        <v>127922669618163</v>
      </c>
      <c r="AN142">
        <v>1255092663726750</v>
      </c>
      <c r="AO142">
        <v>7209252812366950</v>
      </c>
      <c r="AP142">
        <v>917930441986696</v>
      </c>
      <c r="AQ142">
        <v>8127183254353650</v>
      </c>
      <c r="AR142"/>
      <c r="AS142">
        <f t="shared" si="23"/>
        <v>8266876648342552</v>
      </c>
      <c r="AT142">
        <f t="shared" si="28"/>
        <v>935145898665619.88</v>
      </c>
      <c r="AU142">
        <f t="shared" si="28"/>
        <v>9202022547008176</v>
      </c>
      <c r="AV142">
        <f t="shared" si="27"/>
        <v>1.000466907423357</v>
      </c>
      <c r="AW142">
        <f t="shared" si="27"/>
        <v>1.0004114429145188</v>
      </c>
      <c r="AX142">
        <f t="shared" si="27"/>
        <v>1.0004612706200271</v>
      </c>
      <c r="AY142"/>
      <c r="AZ142" s="24">
        <v>4881802650</v>
      </c>
      <c r="BA142">
        <f t="shared" si="26"/>
        <v>2183.7544507278294</v>
      </c>
      <c r="BB142">
        <f t="shared" si="26"/>
        <v>412.47454537101464</v>
      </c>
      <c r="BC142" s="23">
        <f t="shared" si="26"/>
        <v>2596.2289960988414</v>
      </c>
      <c r="BD142">
        <v>2589</v>
      </c>
      <c r="BE142"/>
    </row>
    <row r="143" spans="1:57" x14ac:dyDescent="0.3">
      <c r="A143">
        <v>1987</v>
      </c>
      <c r="B143">
        <v>140079078300011</v>
      </c>
      <c r="C143">
        <v>8351276002627.8301</v>
      </c>
      <c r="D143">
        <v>148430354302639</v>
      </c>
      <c r="E143">
        <v>353529066778018</v>
      </c>
      <c r="F143">
        <v>11698148789198.801</v>
      </c>
      <c r="G143">
        <v>365227215567217</v>
      </c>
      <c r="H143">
        <v>1216759072179070</v>
      </c>
      <c r="I143">
        <v>1786341484055.04</v>
      </c>
      <c r="J143">
        <v>1218545413663120</v>
      </c>
      <c r="K143">
        <v>3983999444288280</v>
      </c>
      <c r="L143">
        <v>754352681773984</v>
      </c>
      <c r="M143">
        <v>4738352126062270</v>
      </c>
      <c r="N143">
        <v>353049950649223</v>
      </c>
      <c r="O143">
        <v>80709787027828</v>
      </c>
      <c r="P143">
        <v>433759737677051</v>
      </c>
      <c r="Q143">
        <v>0</v>
      </c>
      <c r="R143">
        <v>0</v>
      </c>
      <c r="S143">
        <v>0</v>
      </c>
      <c r="T143">
        <v>0</v>
      </c>
      <c r="U143">
        <v>0</v>
      </c>
      <c r="V143">
        <v>0</v>
      </c>
      <c r="W143">
        <v>8314876587335680</v>
      </c>
      <c r="X143">
        <v>954991012928077</v>
      </c>
      <c r="Y143">
        <v>9269867600263760</v>
      </c>
      <c r="Z143">
        <v>8206734954101900</v>
      </c>
      <c r="AA143">
        <v>947449615107373</v>
      </c>
      <c r="AB143">
        <v>9154184569209270</v>
      </c>
      <c r="AC143">
        <v>2128543770160940</v>
      </c>
      <c r="AD143">
        <v>103895363415644</v>
      </c>
      <c r="AE143">
        <v>2232439133576590</v>
      </c>
      <c r="AF143">
        <v>281482187850384</v>
      </c>
      <c r="AG143">
        <v>3091312963321.0898</v>
      </c>
      <c r="AH143">
        <v>284573500813705</v>
      </c>
      <c r="AI143">
        <v>1173025581228010</v>
      </c>
      <c r="AJ143">
        <v>131284537172076</v>
      </c>
      <c r="AK143">
        <v>1304310118400090</v>
      </c>
      <c r="AL143">
        <v>1205015410872160</v>
      </c>
      <c r="AM143">
        <v>132174370389672</v>
      </c>
      <c r="AN143">
        <v>1337189781261830</v>
      </c>
      <c r="AO143">
        <v>7118776971515210</v>
      </c>
      <c r="AP143">
        <v>932803453548731</v>
      </c>
      <c r="AQ143">
        <v>8051580425063940</v>
      </c>
      <c r="AR143"/>
      <c r="AS143">
        <f t="shared" si="23"/>
        <v>8209274243250054</v>
      </c>
      <c r="AT143">
        <f t="shared" si="28"/>
        <v>948072192668999</v>
      </c>
      <c r="AU143">
        <f t="shared" si="28"/>
        <v>9157346435919054</v>
      </c>
      <c r="AV143">
        <f t="shared" si="27"/>
        <v>1.0003094152744489</v>
      </c>
      <c r="AW143">
        <f t="shared" si="27"/>
        <v>1.0006571088865295</v>
      </c>
      <c r="AX143">
        <f t="shared" si="27"/>
        <v>1.0003454012409165</v>
      </c>
      <c r="AY143"/>
      <c r="AZ143" s="24">
        <v>4971918870</v>
      </c>
      <c r="BA143">
        <f t="shared" si="26"/>
        <v>2195.3429362078109</v>
      </c>
      <c r="BB143">
        <f t="shared" si="26"/>
        <v>415.67847950284573</v>
      </c>
      <c r="BC143" s="23">
        <f t="shared" si="26"/>
        <v>2611.0214157106602</v>
      </c>
      <c r="BD143">
        <v>2607</v>
      </c>
      <c r="BE143"/>
    </row>
    <row r="144" spans="1:57" x14ac:dyDescent="0.3">
      <c r="A144">
        <v>1988</v>
      </c>
      <c r="B144">
        <v>272735871824610</v>
      </c>
      <c r="C144">
        <v>5415842283389.0195</v>
      </c>
      <c r="D144">
        <v>278151714107999</v>
      </c>
      <c r="E144">
        <v>341396076018685</v>
      </c>
      <c r="F144">
        <v>12263967704093.5</v>
      </c>
      <c r="G144">
        <v>353660043722778</v>
      </c>
      <c r="H144">
        <v>1240019630530420</v>
      </c>
      <c r="I144">
        <v>1683079726843.1001</v>
      </c>
      <c r="J144">
        <v>1241702710257260</v>
      </c>
      <c r="K144">
        <v>4083116733820910</v>
      </c>
      <c r="L144">
        <v>774352419983638</v>
      </c>
      <c r="M144">
        <v>4857469153804550</v>
      </c>
      <c r="N144">
        <v>355851931077201</v>
      </c>
      <c r="O144">
        <v>80895371333868.297</v>
      </c>
      <c r="P144">
        <v>436747302411069</v>
      </c>
      <c r="Q144">
        <v>0</v>
      </c>
      <c r="R144">
        <v>0</v>
      </c>
      <c r="S144">
        <v>0</v>
      </c>
      <c r="T144">
        <v>0</v>
      </c>
      <c r="U144">
        <v>0</v>
      </c>
      <c r="V144">
        <v>0</v>
      </c>
      <c r="W144">
        <v>8333856732338170</v>
      </c>
      <c r="X144">
        <v>976913881796987</v>
      </c>
      <c r="Y144">
        <v>9310770614135160</v>
      </c>
      <c r="Z144">
        <v>8092744496101590</v>
      </c>
      <c r="AA144">
        <v>976301918401908</v>
      </c>
      <c r="AB144">
        <v>9069046414503500</v>
      </c>
      <c r="AC144">
        <v>2026412481469060</v>
      </c>
      <c r="AD144">
        <v>105277931749143</v>
      </c>
      <c r="AE144">
        <v>2131690413218210</v>
      </c>
      <c r="AF144">
        <v>290141645991740</v>
      </c>
      <c r="AG144">
        <v>3162506880084.6299</v>
      </c>
      <c r="AH144">
        <v>293304152871825</v>
      </c>
      <c r="AI144">
        <v>1204341943695890</v>
      </c>
      <c r="AJ144">
        <v>134466388842691</v>
      </c>
      <c r="AK144">
        <v>1338808332538580</v>
      </c>
      <c r="AL144">
        <v>1235705889588610</v>
      </c>
      <c r="AM144">
        <v>139212681994603</v>
      </c>
      <c r="AN144">
        <v>1374918571583210</v>
      </c>
      <c r="AO144">
        <v>6962487759795470</v>
      </c>
      <c r="AP144">
        <v>960679774828689</v>
      </c>
      <c r="AQ144">
        <v>7923167534624160</v>
      </c>
      <c r="AR144"/>
      <c r="AS144">
        <f t="shared" si="23"/>
        <v>8095566572976126</v>
      </c>
      <c r="AT144">
        <f t="shared" si="28"/>
        <v>976965728246193.5</v>
      </c>
      <c r="AU144">
        <f t="shared" si="28"/>
        <v>9072532301222324</v>
      </c>
      <c r="AV144">
        <f t="shared" si="27"/>
        <v>1.0003487169125251</v>
      </c>
      <c r="AW144">
        <f t="shared" si="27"/>
        <v>1.0006799227081025</v>
      </c>
      <c r="AX144">
        <f t="shared" si="27"/>
        <v>1.0003843719129333</v>
      </c>
      <c r="AY144"/>
      <c r="AZ144" s="24">
        <v>5062920850</v>
      </c>
      <c r="BA144">
        <f t="shared" si="26"/>
        <v>2209.5192715782705</v>
      </c>
      <c r="BB144">
        <f t="shared" si="26"/>
        <v>419.02955670484704</v>
      </c>
      <c r="BC144" s="23">
        <f t="shared" si="26"/>
        <v>2628.5488282831188</v>
      </c>
      <c r="BD144">
        <v>2624</v>
      </c>
      <c r="BE144"/>
    </row>
    <row r="145" spans="1:57" x14ac:dyDescent="0.3">
      <c r="A145">
        <v>1989</v>
      </c>
      <c r="B145">
        <v>-44584111913544.602</v>
      </c>
      <c r="C145">
        <v>5448301183314</v>
      </c>
      <c r="D145">
        <v>-39135810730230.602</v>
      </c>
      <c r="E145">
        <v>361694350039153</v>
      </c>
      <c r="F145">
        <v>12723026823800.4</v>
      </c>
      <c r="G145">
        <v>374417376862953</v>
      </c>
      <c r="H145">
        <v>1266738694033320</v>
      </c>
      <c r="I145">
        <v>2544697251231.1001</v>
      </c>
      <c r="J145">
        <v>1269283391284550</v>
      </c>
      <c r="K145">
        <v>4169733641485530</v>
      </c>
      <c r="L145">
        <v>788347245235884</v>
      </c>
      <c r="M145">
        <v>4958080886721420</v>
      </c>
      <c r="N145">
        <v>417034318598876</v>
      </c>
      <c r="O145">
        <v>85042705098430.406</v>
      </c>
      <c r="P145">
        <v>502077023697307</v>
      </c>
      <c r="Q145">
        <v>0</v>
      </c>
      <c r="R145">
        <v>0</v>
      </c>
      <c r="S145">
        <v>0</v>
      </c>
      <c r="T145">
        <v>0</v>
      </c>
      <c r="U145">
        <v>0</v>
      </c>
      <c r="V145">
        <v>0</v>
      </c>
      <c r="W145">
        <v>8584481903545300</v>
      </c>
      <c r="X145">
        <v>995641811940257</v>
      </c>
      <c r="Y145">
        <v>9580123715485560</v>
      </c>
      <c r="Z145">
        <v>8649257979504180</v>
      </c>
      <c r="AA145">
        <v>991282402337580</v>
      </c>
      <c r="AB145">
        <v>9640540381841760</v>
      </c>
      <c r="AC145">
        <v>2081104622404670</v>
      </c>
      <c r="AD145">
        <v>104668317558206</v>
      </c>
      <c r="AE145">
        <v>2185772939962870</v>
      </c>
      <c r="AF145">
        <v>291063789856293</v>
      </c>
      <c r="AG145">
        <v>3178975990525.3501</v>
      </c>
      <c r="AH145">
        <v>294242765846818</v>
      </c>
      <c r="AI145">
        <v>1249057284183760</v>
      </c>
      <c r="AJ145">
        <v>134533550948832</v>
      </c>
      <c r="AK145">
        <v>1383590835132590</v>
      </c>
      <c r="AL145">
        <v>1269061161189090</v>
      </c>
      <c r="AM145">
        <v>135551085911753</v>
      </c>
      <c r="AN145">
        <v>1404612247100840</v>
      </c>
      <c r="AO145">
        <v>7472605579567460</v>
      </c>
      <c r="AP145">
        <v>974802584158500</v>
      </c>
      <c r="AQ145">
        <v>8447408163725960</v>
      </c>
      <c r="AR145"/>
      <c r="AS145">
        <f t="shared" si="23"/>
        <v>8651957405336716</v>
      </c>
      <c r="AT145">
        <f t="shared" si="28"/>
        <v>992074201737684.25</v>
      </c>
      <c r="AU145">
        <f t="shared" si="28"/>
        <v>9644031607074398</v>
      </c>
      <c r="AV145">
        <f t="shared" si="27"/>
        <v>1.0003120991232928</v>
      </c>
      <c r="AW145">
        <f t="shared" si="27"/>
        <v>1.0007987626918797</v>
      </c>
      <c r="AX145">
        <f t="shared" si="27"/>
        <v>1.0003621399936475</v>
      </c>
      <c r="AY145"/>
      <c r="AZ145" s="24">
        <v>5153131300</v>
      </c>
      <c r="BA145">
        <f t="shared" si="26"/>
        <v>2216.8904923675946</v>
      </c>
      <c r="BB145">
        <f t="shared" si="26"/>
        <v>419.13456899491035</v>
      </c>
      <c r="BC145" s="23">
        <f t="shared" si="26"/>
        <v>2636.025061362508</v>
      </c>
      <c r="BD145">
        <v>2635</v>
      </c>
      <c r="BE145"/>
    </row>
    <row r="146" spans="1:57" x14ac:dyDescent="0.3">
      <c r="A146">
        <v>1990</v>
      </c>
      <c r="B146">
        <v>-141718791015916</v>
      </c>
      <c r="C146">
        <v>-1322484508173.3201</v>
      </c>
      <c r="D146">
        <v>-143041275524089</v>
      </c>
      <c r="E146">
        <v>382952694511356</v>
      </c>
      <c r="F146">
        <v>13163592278239</v>
      </c>
      <c r="G146">
        <v>396116286789596</v>
      </c>
      <c r="H146">
        <v>1309892042328340</v>
      </c>
      <c r="I146">
        <v>2251401997531.6099</v>
      </c>
      <c r="J146">
        <v>1312143444325870</v>
      </c>
      <c r="K146">
        <v>4215068599657740</v>
      </c>
      <c r="L146">
        <v>800802402335151</v>
      </c>
      <c r="M146">
        <v>5015871001992890</v>
      </c>
      <c r="N146">
        <v>451310602134293</v>
      </c>
      <c r="O146">
        <v>83756300746532.094</v>
      </c>
      <c r="P146">
        <v>535066902880825</v>
      </c>
      <c r="Q146">
        <v>0</v>
      </c>
      <c r="R146">
        <v>0</v>
      </c>
      <c r="S146">
        <v>0</v>
      </c>
      <c r="T146">
        <v>0</v>
      </c>
      <c r="U146">
        <v>0</v>
      </c>
      <c r="V146">
        <v>0</v>
      </c>
      <c r="W146">
        <v>8765561921237560</v>
      </c>
      <c r="X146">
        <v>1006241150697810</v>
      </c>
      <c r="Y146">
        <v>9771803071935370</v>
      </c>
      <c r="Z146">
        <v>8945998530248820</v>
      </c>
      <c r="AA146">
        <v>1004208391604780</v>
      </c>
      <c r="AB146">
        <v>9950206921853610</v>
      </c>
      <c r="AC146">
        <v>2136495520360190</v>
      </c>
      <c r="AD146">
        <v>103502980845614</v>
      </c>
      <c r="AE146">
        <v>2239998501205810</v>
      </c>
      <c r="AF146">
        <v>273153539488873</v>
      </c>
      <c r="AG146">
        <v>3395344785231.9702</v>
      </c>
      <c r="AH146">
        <v>276548884274105</v>
      </c>
      <c r="AI146">
        <v>1242818534007600</v>
      </c>
      <c r="AJ146">
        <v>133780553803304</v>
      </c>
      <c r="AK146">
        <v>1376599087810900</v>
      </c>
      <c r="AL146">
        <v>1280833749211090</v>
      </c>
      <c r="AM146">
        <v>130429199133602</v>
      </c>
      <c r="AN146">
        <v>1411262948344690</v>
      </c>
      <c r="AO146">
        <v>7744350479410840</v>
      </c>
      <c r="AP146">
        <v>989967436150373</v>
      </c>
      <c r="AQ146">
        <v>8734317915561210</v>
      </c>
      <c r="AR146"/>
      <c r="AS146">
        <f t="shared" si="23"/>
        <v>8948607004700198</v>
      </c>
      <c r="AT146">
        <f t="shared" si="28"/>
        <v>1004843152826771</v>
      </c>
      <c r="AU146">
        <f t="shared" si="28"/>
        <v>9953450157526976</v>
      </c>
      <c r="AV146">
        <f t="shared" si="27"/>
        <v>1.0002915800223484</v>
      </c>
      <c r="AW146">
        <f t="shared" si="27"/>
        <v>1.0006321010930577</v>
      </c>
      <c r="AX146">
        <f t="shared" si="27"/>
        <v>1.0003259465555678</v>
      </c>
      <c r="AY146"/>
      <c r="AZ146" s="24">
        <v>5243131130</v>
      </c>
      <c r="BA146">
        <f t="shared" si="26"/>
        <v>2202.5260981308384</v>
      </c>
      <c r="BB146">
        <f t="shared" si="26"/>
        <v>418.44827643665394</v>
      </c>
      <c r="BC146" s="23">
        <f t="shared" si="26"/>
        <v>2620.9743745674919</v>
      </c>
      <c r="BD146">
        <v>2621</v>
      </c>
      <c r="BE146"/>
    </row>
    <row r="147" spans="1:57" x14ac:dyDescent="0.3">
      <c r="A147">
        <v>1991</v>
      </c>
      <c r="B147">
        <v>4382590778546.04</v>
      </c>
      <c r="C147">
        <v>443156523406.99402</v>
      </c>
      <c r="D147">
        <v>4825747301953.0303</v>
      </c>
      <c r="E147">
        <v>370915010462439</v>
      </c>
      <c r="F147">
        <v>13288226174370.5</v>
      </c>
      <c r="G147">
        <v>384203236636809</v>
      </c>
      <c r="H147">
        <v>1322283770727040</v>
      </c>
      <c r="I147">
        <v>2343654957638.21</v>
      </c>
      <c r="J147">
        <v>1324627425684670</v>
      </c>
      <c r="K147">
        <v>4250883380305220</v>
      </c>
      <c r="L147">
        <v>802532724594388</v>
      </c>
      <c r="M147">
        <v>5053416104899610</v>
      </c>
      <c r="N147">
        <v>488239906868960</v>
      </c>
      <c r="O147">
        <v>83394746566218.094</v>
      </c>
      <c r="P147">
        <v>571634653435178</v>
      </c>
      <c r="Q147">
        <v>0</v>
      </c>
      <c r="R147">
        <v>0</v>
      </c>
      <c r="S147">
        <v>0</v>
      </c>
      <c r="T147">
        <v>0</v>
      </c>
      <c r="U147">
        <v>0</v>
      </c>
      <c r="V147">
        <v>0</v>
      </c>
      <c r="W147">
        <v>8791508529461590</v>
      </c>
      <c r="X147">
        <v>1003847606058750</v>
      </c>
      <c r="Y147">
        <v>9795356135520350</v>
      </c>
      <c r="Z147">
        <v>8840521010449040</v>
      </c>
      <c r="AA147">
        <v>1003556298758500</v>
      </c>
      <c r="AB147">
        <v>9844077309207550</v>
      </c>
      <c r="AC147">
        <v>2089468958988690</v>
      </c>
      <c r="AD147">
        <v>99421423520154.406</v>
      </c>
      <c r="AE147">
        <v>2188890382508850</v>
      </c>
      <c r="AF147">
        <v>274122940824353</v>
      </c>
      <c r="AG147">
        <v>3502906014585.29</v>
      </c>
      <c r="AH147">
        <v>277625846838938</v>
      </c>
      <c r="AI147">
        <v>1254834308103960</v>
      </c>
      <c r="AJ147">
        <v>135149959882211</v>
      </c>
      <c r="AK147">
        <v>1389984267986170</v>
      </c>
      <c r="AL147">
        <v>1307729963491750</v>
      </c>
      <c r="AM147">
        <v>135306358582222</v>
      </c>
      <c r="AN147">
        <v>1443036322073970</v>
      </c>
      <c r="AO147">
        <v>7571461804946510</v>
      </c>
      <c r="AP147">
        <v>989667805230421</v>
      </c>
      <c r="AQ147">
        <v>8561129610176930</v>
      </c>
      <c r="AR147"/>
      <c r="AS147">
        <f t="shared" si="23"/>
        <v>8844427032785946</v>
      </c>
      <c r="AT147">
        <f t="shared" si="28"/>
        <v>1004196924003958.5</v>
      </c>
      <c r="AU147">
        <f t="shared" si="28"/>
        <v>9848623956789902</v>
      </c>
      <c r="AV147">
        <f t="shared" si="27"/>
        <v>1.0004418316898167</v>
      </c>
      <c r="AW147">
        <f t="shared" si="27"/>
        <v>1.0006383550641365</v>
      </c>
      <c r="AX147">
        <f t="shared" si="27"/>
        <v>1.0004618663018929</v>
      </c>
      <c r="AY147"/>
      <c r="AZ147" s="24">
        <v>5328915990</v>
      </c>
      <c r="BA147">
        <f t="shared" si="26"/>
        <v>2185.483099810072</v>
      </c>
      <c r="BB147">
        <f t="shared" si="26"/>
        <v>412.60169939539281</v>
      </c>
      <c r="BC147" s="23">
        <f t="shared" si="26"/>
        <v>2598.0847992054655</v>
      </c>
      <c r="BD147">
        <v>2601</v>
      </c>
      <c r="BE147"/>
    </row>
    <row r="148" spans="1:57" x14ac:dyDescent="0.3">
      <c r="A148">
        <v>1992</v>
      </c>
      <c r="B148">
        <v>-211848246457664</v>
      </c>
      <c r="C148">
        <v>1176607700824.3301</v>
      </c>
      <c r="D148">
        <v>-210671638756840</v>
      </c>
      <c r="E148">
        <v>360567785933864</v>
      </c>
      <c r="F148">
        <v>11262732211133.4</v>
      </c>
      <c r="G148">
        <v>371830518144997</v>
      </c>
      <c r="H148">
        <v>1356495037443840</v>
      </c>
      <c r="I148">
        <v>2029589732116.3701</v>
      </c>
      <c r="J148">
        <v>1358524627175960</v>
      </c>
      <c r="K148">
        <v>4332697351859740</v>
      </c>
      <c r="L148">
        <v>811474749851218</v>
      </c>
      <c r="M148">
        <v>5144172101710960</v>
      </c>
      <c r="N148">
        <v>441383243154464</v>
      </c>
      <c r="O148">
        <v>76600184401630.703</v>
      </c>
      <c r="P148">
        <v>517983427556095</v>
      </c>
      <c r="Q148">
        <v>0</v>
      </c>
      <c r="R148">
        <v>0</v>
      </c>
      <c r="S148">
        <v>0</v>
      </c>
      <c r="T148">
        <v>0</v>
      </c>
      <c r="U148">
        <v>0</v>
      </c>
      <c r="V148">
        <v>0</v>
      </c>
      <c r="W148">
        <v>8917660413261730</v>
      </c>
      <c r="X148">
        <v>1001522191714620</v>
      </c>
      <c r="Y148">
        <v>9919182604976360</v>
      </c>
      <c r="Z148">
        <v>9131019076526840</v>
      </c>
      <c r="AA148">
        <v>1002852459047410</v>
      </c>
      <c r="AB148">
        <v>1.01338715355742E+16</v>
      </c>
      <c r="AC148">
        <v>2147439561377120</v>
      </c>
      <c r="AD148">
        <v>97110837380390.797</v>
      </c>
      <c r="AE148">
        <v>2244550398757510</v>
      </c>
      <c r="AF148">
        <v>284587760465190</v>
      </c>
      <c r="AG148">
        <v>3582288808639.6299</v>
      </c>
      <c r="AH148">
        <v>288170049273830</v>
      </c>
      <c r="AI148">
        <v>1407956913482140</v>
      </c>
      <c r="AJ148">
        <v>140154572286701</v>
      </c>
      <c r="AK148">
        <v>1548111485768840</v>
      </c>
      <c r="AL148">
        <v>1409264597079260</v>
      </c>
      <c r="AM148">
        <v>142629632957478</v>
      </c>
      <c r="AN148">
        <v>1551894230036740</v>
      </c>
      <c r="AO148">
        <v>7868653475409990</v>
      </c>
      <c r="AP148">
        <v>992039439739158</v>
      </c>
      <c r="AQ148">
        <v>8860692915149140</v>
      </c>
      <c r="AR148"/>
      <c r="AS148">
        <f t="shared" si="23"/>
        <v>9136326670289002</v>
      </c>
      <c r="AT148">
        <f t="shared" si="28"/>
        <v>1003358835355081.8</v>
      </c>
      <c r="AU148">
        <f t="shared" si="28"/>
        <v>1.0139685505644092E+16</v>
      </c>
      <c r="AV148">
        <f t="shared" si="27"/>
        <v>1.0005812706903445</v>
      </c>
      <c r="AW148">
        <f t="shared" si="27"/>
        <v>1.0005049359984146</v>
      </c>
      <c r="AX148">
        <f t="shared" si="27"/>
        <v>1.0005737165750999</v>
      </c>
      <c r="AY148"/>
      <c r="AZ148" s="24">
        <v>5411810850</v>
      </c>
      <c r="BA148">
        <f t="shared" si="26"/>
        <v>2193.4254601166103</v>
      </c>
      <c r="BB148">
        <f t="shared" si="26"/>
        <v>410.80860997628236</v>
      </c>
      <c r="BC148" s="23">
        <f t="shared" si="26"/>
        <v>2604.2340700928939</v>
      </c>
      <c r="BD148">
        <v>2610</v>
      </c>
      <c r="BE148"/>
    </row>
    <row r="149" spans="1:57" x14ac:dyDescent="0.3">
      <c r="A149">
        <v>1993</v>
      </c>
      <c r="B149">
        <v>74494346510805.203</v>
      </c>
      <c r="C149">
        <v>-1359822568170.9099</v>
      </c>
      <c r="D149">
        <v>73134523942634.297</v>
      </c>
      <c r="E149">
        <v>356667105760711</v>
      </c>
      <c r="F149">
        <v>11093509400703.5</v>
      </c>
      <c r="G149">
        <v>367760615161414</v>
      </c>
      <c r="H149">
        <v>1349627488214290</v>
      </c>
      <c r="I149">
        <v>1959270018328.8701</v>
      </c>
      <c r="J149">
        <v>1351586758232620</v>
      </c>
      <c r="K149">
        <v>4403676414508110</v>
      </c>
      <c r="L149">
        <v>824567838914229</v>
      </c>
      <c r="M149">
        <v>5228244253422340</v>
      </c>
      <c r="N149">
        <v>475694136770555</v>
      </c>
      <c r="O149">
        <v>74700690461963.797</v>
      </c>
      <c r="P149">
        <v>550394827232519</v>
      </c>
      <c r="Q149">
        <v>0</v>
      </c>
      <c r="R149">
        <v>0</v>
      </c>
      <c r="S149">
        <v>0</v>
      </c>
      <c r="T149">
        <v>0</v>
      </c>
      <c r="U149">
        <v>0</v>
      </c>
      <c r="V149">
        <v>0</v>
      </c>
      <c r="W149">
        <v>8995173933263400</v>
      </c>
      <c r="X149">
        <v>1008771837120760</v>
      </c>
      <c r="Y149">
        <v>1.00039457703841E+16</v>
      </c>
      <c r="Z149">
        <v>8963802274683740</v>
      </c>
      <c r="AA149">
        <v>1014877518569950</v>
      </c>
      <c r="AB149">
        <v>9978679793253700</v>
      </c>
      <c r="AC149">
        <v>2134467734036220</v>
      </c>
      <c r="AD149">
        <v>93343371444406.094</v>
      </c>
      <c r="AE149">
        <v>2227811105480620</v>
      </c>
      <c r="AF149">
        <v>281230339939628</v>
      </c>
      <c r="AG149">
        <v>3712252703741.4902</v>
      </c>
      <c r="AH149">
        <v>284942592643370</v>
      </c>
      <c r="AI149">
        <v>1319640627411220</v>
      </c>
      <c r="AJ149">
        <v>141187661503121</v>
      </c>
      <c r="AK149">
        <v>1460828288914340</v>
      </c>
      <c r="AL149">
        <v>1362544334339280</v>
      </c>
      <c r="AM149">
        <v>145880779274994</v>
      </c>
      <c r="AN149">
        <v>1508425113614270</v>
      </c>
      <c r="AO149">
        <v>7677160496822580</v>
      </c>
      <c r="AP149">
        <v>1002776757202990</v>
      </c>
      <c r="AQ149">
        <v>8679937254025580</v>
      </c>
      <c r="AR149"/>
      <c r="AS149">
        <f t="shared" si="23"/>
        <v>8969772579646768</v>
      </c>
      <c r="AT149">
        <f t="shared" si="28"/>
        <v>1015429873283416.8</v>
      </c>
      <c r="AU149">
        <f t="shared" si="28"/>
        <v>9985202452930180</v>
      </c>
      <c r="AV149">
        <f t="shared" si="27"/>
        <v>1.0006660460349388</v>
      </c>
      <c r="AW149">
        <f t="shared" si="27"/>
        <v>1.0005442575122219</v>
      </c>
      <c r="AX149">
        <f t="shared" si="27"/>
        <v>1.0006536595833939</v>
      </c>
      <c r="AY149"/>
      <c r="AZ149" s="24">
        <v>5486759410</v>
      </c>
      <c r="BA149">
        <f t="shared" ref="BA149:BC173" si="29">K149/($AZ149*365)</f>
        <v>2198.9057634045803</v>
      </c>
      <c r="BB149">
        <f t="shared" si="29"/>
        <v>411.73483304383211</v>
      </c>
      <c r="BC149" s="23">
        <f t="shared" si="29"/>
        <v>2610.6405964484129</v>
      </c>
      <c r="BD149">
        <v>2616</v>
      </c>
      <c r="BE149"/>
    </row>
    <row r="150" spans="1:57" x14ac:dyDescent="0.3">
      <c r="A150">
        <v>1994</v>
      </c>
      <c r="B150">
        <v>-38241793996917</v>
      </c>
      <c r="C150">
        <v>153064415157.09799</v>
      </c>
      <c r="D150">
        <v>-38088729581759.898</v>
      </c>
      <c r="E150">
        <v>360038579747511</v>
      </c>
      <c r="F150">
        <v>10296084875664.5</v>
      </c>
      <c r="G150">
        <v>370334664623175</v>
      </c>
      <c r="H150">
        <v>1360502885393060</v>
      </c>
      <c r="I150">
        <v>2079931418809.24</v>
      </c>
      <c r="J150">
        <v>1362582816811870</v>
      </c>
      <c r="K150">
        <v>4497159699476820</v>
      </c>
      <c r="L150">
        <v>849823857954620</v>
      </c>
      <c r="M150">
        <v>5346983557431440</v>
      </c>
      <c r="N150">
        <v>478146600430127</v>
      </c>
      <c r="O150">
        <v>73969241239343.203</v>
      </c>
      <c r="P150">
        <v>552115841669470</v>
      </c>
      <c r="Q150">
        <v>0</v>
      </c>
      <c r="R150">
        <v>0</v>
      </c>
      <c r="S150">
        <v>0</v>
      </c>
      <c r="T150">
        <v>0</v>
      </c>
      <c r="U150">
        <v>0</v>
      </c>
      <c r="V150">
        <v>0</v>
      </c>
      <c r="W150">
        <v>9143964351319020</v>
      </c>
      <c r="X150">
        <v>1034631921029820</v>
      </c>
      <c r="Y150">
        <v>1.01785962723488E+16</v>
      </c>
      <c r="Z150">
        <v>9237732674975890</v>
      </c>
      <c r="AA150">
        <v>1041179250088720</v>
      </c>
      <c r="AB150">
        <v>1.02789119250646E+16</v>
      </c>
      <c r="AC150">
        <v>2171110951867060</v>
      </c>
      <c r="AD150">
        <v>95270016370517.5</v>
      </c>
      <c r="AE150">
        <v>2266380968237580</v>
      </c>
      <c r="AF150">
        <v>284016920349936</v>
      </c>
      <c r="AG150">
        <v>3863322322986.4302</v>
      </c>
      <c r="AH150">
        <v>287880242672923</v>
      </c>
      <c r="AI150">
        <v>1376215063100400</v>
      </c>
      <c r="AJ150">
        <v>158276856129170</v>
      </c>
      <c r="AK150">
        <v>1534491919229570</v>
      </c>
      <c r="AL150">
        <v>1431548153250900</v>
      </c>
      <c r="AM150">
        <v>164914385451787</v>
      </c>
      <c r="AN150">
        <v>1596462538702690</v>
      </c>
      <c r="AO150">
        <v>7942390908288380</v>
      </c>
      <c r="AP150">
        <v>1026101683139160</v>
      </c>
      <c r="AQ150">
        <v>8968492591427540</v>
      </c>
      <c r="AR150"/>
      <c r="AS150">
        <f t="shared" si="23"/>
        <v>9244550521411932</v>
      </c>
      <c r="AT150">
        <f t="shared" si="28"/>
        <v>1041786919089401</v>
      </c>
      <c r="AU150">
        <f t="shared" si="28"/>
        <v>1.0286337440501338E+16</v>
      </c>
      <c r="AV150">
        <f t="shared" si="27"/>
        <v>1.0007380432705648</v>
      </c>
      <c r="AW150">
        <f t="shared" si="27"/>
        <v>1.0005836353352502</v>
      </c>
      <c r="AX150">
        <f t="shared" si="27"/>
        <v>1.0007224028662636</v>
      </c>
      <c r="AY150"/>
      <c r="AZ150" s="24">
        <v>5566345860</v>
      </c>
      <c r="BA150">
        <f t="shared" si="29"/>
        <v>2213.4782472928632</v>
      </c>
      <c r="BB150">
        <f t="shared" si="29"/>
        <v>418.27881358802676</v>
      </c>
      <c r="BC150" s="23">
        <f t="shared" si="29"/>
        <v>2631.7570608808901</v>
      </c>
      <c r="BD150">
        <v>2639</v>
      </c>
      <c r="BE150"/>
    </row>
    <row r="151" spans="1:57" x14ac:dyDescent="0.3">
      <c r="A151">
        <v>1995</v>
      </c>
      <c r="B151">
        <v>166337596960339</v>
      </c>
      <c r="C151">
        <v>28932689768.060398</v>
      </c>
      <c r="D151">
        <v>166366529650107</v>
      </c>
      <c r="E151">
        <v>372190538074723</v>
      </c>
      <c r="F151">
        <v>12257238599982</v>
      </c>
      <c r="G151">
        <v>384447776674705</v>
      </c>
      <c r="H151">
        <v>1454626915309880</v>
      </c>
      <c r="I151">
        <v>1782680478165.72</v>
      </c>
      <c r="J151">
        <v>1456409595788050</v>
      </c>
      <c r="K151">
        <v>4602077785615820</v>
      </c>
      <c r="L151">
        <v>873325083727858</v>
      </c>
      <c r="M151">
        <v>5475402869343680</v>
      </c>
      <c r="N151">
        <v>540009876428125</v>
      </c>
      <c r="O151">
        <v>73779691005821.594</v>
      </c>
      <c r="P151">
        <v>613789567433946</v>
      </c>
      <c r="Q151">
        <v>0</v>
      </c>
      <c r="R151">
        <v>0</v>
      </c>
      <c r="S151">
        <v>0</v>
      </c>
      <c r="T151">
        <v>0</v>
      </c>
      <c r="U151">
        <v>0</v>
      </c>
      <c r="V151">
        <v>0</v>
      </c>
      <c r="W151">
        <v>9367690985358060</v>
      </c>
      <c r="X151">
        <v>1055150767912700</v>
      </c>
      <c r="Y151">
        <v>1.04228417532707E+16</v>
      </c>
      <c r="Z151">
        <v>9253060298455130</v>
      </c>
      <c r="AA151">
        <v>1058030292247530</v>
      </c>
      <c r="AB151">
        <v>1.03110905907026E+16</v>
      </c>
      <c r="AC151">
        <v>2117051384182990</v>
      </c>
      <c r="AD151">
        <v>90478783135317</v>
      </c>
      <c r="AE151">
        <v>2207530167318310</v>
      </c>
      <c r="AF151">
        <v>288789882606385</v>
      </c>
      <c r="AG151">
        <v>4126614715917.5698</v>
      </c>
      <c r="AH151">
        <v>292916497322302</v>
      </c>
      <c r="AI151">
        <v>1480470244651610</v>
      </c>
      <c r="AJ151">
        <v>165110514141091</v>
      </c>
      <c r="AK151">
        <v>1645580758792700</v>
      </c>
      <c r="AL151">
        <v>1531778136805600</v>
      </c>
      <c r="AM151">
        <v>167939332853391</v>
      </c>
      <c r="AN151">
        <v>1699717469659000</v>
      </c>
      <c r="AO151">
        <v>7846079665801710</v>
      </c>
      <c r="AP151">
        <v>1044179177143500</v>
      </c>
      <c r="AQ151">
        <v>8890258842945210</v>
      </c>
      <c r="AR151"/>
      <c r="AS151">
        <f t="shared" si="23"/>
        <v>9259716677411574</v>
      </c>
      <c r="AT151">
        <f t="shared" si="28"/>
        <v>1058549977685594</v>
      </c>
      <c r="AU151">
        <f t="shared" si="28"/>
        <v>1.0318266655097184E+16</v>
      </c>
      <c r="AV151">
        <f t="shared" si="27"/>
        <v>1.0007193705370703</v>
      </c>
      <c r="AW151">
        <f t="shared" si="27"/>
        <v>1.0004911820028897</v>
      </c>
      <c r="AX151">
        <f t="shared" si="27"/>
        <v>1.0006959559060662</v>
      </c>
      <c r="AY151"/>
      <c r="AZ151" s="24">
        <v>5644530370</v>
      </c>
      <c r="BA151">
        <f t="shared" si="29"/>
        <v>2233.7433697532592</v>
      </c>
      <c r="BB151">
        <f t="shared" si="29"/>
        <v>423.89203448791153</v>
      </c>
      <c r="BC151" s="23">
        <f t="shared" si="29"/>
        <v>2657.6354042411717</v>
      </c>
      <c r="BD151">
        <v>2663</v>
      </c>
      <c r="BE151"/>
    </row>
    <row r="152" spans="1:57" x14ac:dyDescent="0.3">
      <c r="A152">
        <v>1996</v>
      </c>
      <c r="B152">
        <v>-184593655739019</v>
      </c>
      <c r="C152">
        <v>-3509741180675.8599</v>
      </c>
      <c r="D152">
        <v>-188103396919695</v>
      </c>
      <c r="E152">
        <v>370993277243759</v>
      </c>
      <c r="F152">
        <v>13003033811654.301</v>
      </c>
      <c r="G152">
        <v>383996311055414</v>
      </c>
      <c r="H152">
        <v>1505238312167320</v>
      </c>
      <c r="I152">
        <v>2605934586964.54</v>
      </c>
      <c r="J152">
        <v>1507844246754290</v>
      </c>
      <c r="K152">
        <v>4680436203536760</v>
      </c>
      <c r="L152">
        <v>883541420127170</v>
      </c>
      <c r="M152">
        <v>5563977623663930</v>
      </c>
      <c r="N152">
        <v>629309374449798</v>
      </c>
      <c r="O152">
        <v>78259495441663.406</v>
      </c>
      <c r="P152">
        <v>707568869891461</v>
      </c>
      <c r="Q152">
        <v>0</v>
      </c>
      <c r="R152">
        <v>0</v>
      </c>
      <c r="S152">
        <v>0</v>
      </c>
      <c r="T152">
        <v>0</v>
      </c>
      <c r="U152">
        <v>0</v>
      </c>
      <c r="V152">
        <v>0</v>
      </c>
      <c r="W152">
        <v>9693412715316690</v>
      </c>
      <c r="X152">
        <v>1066696903051850</v>
      </c>
      <c r="Y152">
        <v>1.07601096183685E+16</v>
      </c>
      <c r="Z152">
        <v>9904833230392130</v>
      </c>
      <c r="AA152">
        <v>1072955159880480</v>
      </c>
      <c r="AB152">
        <v>1.09777883902726E+16</v>
      </c>
      <c r="AC152">
        <v>2222762631426520</v>
      </c>
      <c r="AD152">
        <v>85522678811165.906</v>
      </c>
      <c r="AE152">
        <v>2308285310237680</v>
      </c>
      <c r="AF152">
        <v>293014163294650</v>
      </c>
      <c r="AG152">
        <v>4268613238952.6201</v>
      </c>
      <c r="AH152">
        <v>297282776533602</v>
      </c>
      <c r="AI152">
        <v>1491612916919360</v>
      </c>
      <c r="AJ152">
        <v>161226081941204</v>
      </c>
      <c r="AK152">
        <v>1652838998860570</v>
      </c>
      <c r="AL152">
        <v>1518102258237660</v>
      </c>
      <c r="AM152">
        <v>164014645837623</v>
      </c>
      <c r="AN152">
        <v>1682116904075280</v>
      </c>
      <c r="AO152">
        <v>8405611635299800</v>
      </c>
      <c r="AP152">
        <v>1059106418675130</v>
      </c>
      <c r="AQ152">
        <v>9464718053974940</v>
      </c>
      <c r="AR152"/>
      <c r="AS152">
        <f t="shared" si="23"/>
        <v>9912836959176128</v>
      </c>
      <c r="AT152">
        <f t="shared" si="28"/>
        <v>1073499481094665.3</v>
      </c>
      <c r="AU152">
        <f t="shared" si="28"/>
        <v>1.0986336440270782E+16</v>
      </c>
      <c r="AV152">
        <f t="shared" si="27"/>
        <v>1.0008080629524825</v>
      </c>
      <c r="AW152">
        <f t="shared" si="27"/>
        <v>1.0005073103094504</v>
      </c>
      <c r="AX152">
        <f t="shared" si="27"/>
        <v>1.0007786677693438</v>
      </c>
      <c r="AY152"/>
      <c r="AZ152" s="24">
        <v>5721305710</v>
      </c>
      <c r="BA152">
        <f t="shared" si="29"/>
        <v>2241.2913304019339</v>
      </c>
      <c r="BB152">
        <f t="shared" si="29"/>
        <v>423.09597628649442</v>
      </c>
      <c r="BC152" s="23">
        <f t="shared" si="29"/>
        <v>2664.3873066884285</v>
      </c>
      <c r="BD152">
        <v>2673</v>
      </c>
      <c r="BE152"/>
    </row>
    <row r="153" spans="1:57" x14ac:dyDescent="0.3">
      <c r="A153">
        <v>1997</v>
      </c>
      <c r="B153">
        <v>-188392517310307</v>
      </c>
      <c r="C153">
        <v>-510048651901.38</v>
      </c>
      <c r="D153">
        <v>-188902565962208</v>
      </c>
      <c r="E153">
        <v>376293551551433</v>
      </c>
      <c r="F153">
        <v>12350463442025.1</v>
      </c>
      <c r="G153">
        <v>388644014993458</v>
      </c>
      <c r="H153">
        <v>1528186147971220</v>
      </c>
      <c r="I153">
        <v>2929924711471.9702</v>
      </c>
      <c r="J153">
        <v>1531116072682690</v>
      </c>
      <c r="K153">
        <v>4764192408352910</v>
      </c>
      <c r="L153">
        <v>897771012208792</v>
      </c>
      <c r="M153">
        <v>5661963420561700</v>
      </c>
      <c r="N153">
        <v>624395807927094</v>
      </c>
      <c r="O153">
        <v>74220986484096.797</v>
      </c>
      <c r="P153">
        <v>698616794411191</v>
      </c>
      <c r="Q153">
        <v>0</v>
      </c>
      <c r="R153">
        <v>0</v>
      </c>
      <c r="S153">
        <v>0</v>
      </c>
      <c r="T153">
        <v>0</v>
      </c>
      <c r="U153">
        <v>0</v>
      </c>
      <c r="V153">
        <v>0</v>
      </c>
      <c r="W153">
        <v>9794971067394180</v>
      </c>
      <c r="X153">
        <v>1078371649802050</v>
      </c>
      <c r="Y153">
        <v>1.08733427171962E+16</v>
      </c>
      <c r="Z153">
        <v>1.00709623037291E+16</v>
      </c>
      <c r="AA153">
        <v>1083245566136270</v>
      </c>
      <c r="AB153">
        <v>1.11542078698653E+16</v>
      </c>
      <c r="AC153">
        <v>2224657006898920</v>
      </c>
      <c r="AD153">
        <v>87209014998665.297</v>
      </c>
      <c r="AE153">
        <v>2311866021897580</v>
      </c>
      <c r="AF153">
        <v>286235261675067</v>
      </c>
      <c r="AG153">
        <v>4354083775519.7798</v>
      </c>
      <c r="AH153">
        <v>290589345450587</v>
      </c>
      <c r="AI153">
        <v>1534480366898510</v>
      </c>
      <c r="AJ153">
        <v>165582687230816</v>
      </c>
      <c r="AK153">
        <v>1700063054129320</v>
      </c>
      <c r="AL153">
        <v>1621685885928180</v>
      </c>
      <c r="AM153">
        <v>169769213890526</v>
      </c>
      <c r="AN153">
        <v>1791455099818710</v>
      </c>
      <c r="AO153">
        <v>8529298923497220</v>
      </c>
      <c r="AP153">
        <v>1071508273030740</v>
      </c>
      <c r="AQ153">
        <v>9600807196527960</v>
      </c>
      <c r="AR153"/>
      <c r="AS153">
        <f t="shared" si="23"/>
        <v>1.0079558220716622E+16</v>
      </c>
      <c r="AT153">
        <f t="shared" si="28"/>
        <v>1083532060932182.5</v>
      </c>
      <c r="AU153">
        <f t="shared" si="28"/>
        <v>1.1163090281648804E+16</v>
      </c>
      <c r="AV153">
        <f t="shared" si="27"/>
        <v>1.000853534819045</v>
      </c>
      <c r="AW153">
        <f t="shared" si="27"/>
        <v>1.0002644781616179</v>
      </c>
      <c r="AX153">
        <f t="shared" si="27"/>
        <v>1.0007963283352017</v>
      </c>
      <c r="AY153"/>
      <c r="AZ153" s="24">
        <v>5796630450</v>
      </c>
      <c r="BA153">
        <f t="shared" si="29"/>
        <v>2251.753333817046</v>
      </c>
      <c r="BB153">
        <f t="shared" si="29"/>
        <v>424.32351518824373</v>
      </c>
      <c r="BC153" s="23">
        <f t="shared" si="29"/>
        <v>2676.0768490052888</v>
      </c>
      <c r="BD153">
        <v>2687</v>
      </c>
      <c r="BE153"/>
    </row>
    <row r="154" spans="1:57" x14ac:dyDescent="0.3">
      <c r="A154">
        <v>1998</v>
      </c>
      <c r="B154">
        <v>-138256533924737</v>
      </c>
      <c r="C154">
        <v>-1775128018701.8501</v>
      </c>
      <c r="D154">
        <v>-140031661943438</v>
      </c>
      <c r="E154">
        <v>385168117746995</v>
      </c>
      <c r="F154">
        <v>12537327963301.199</v>
      </c>
      <c r="G154">
        <v>397705445710296</v>
      </c>
      <c r="H154">
        <v>1583325127362240</v>
      </c>
      <c r="I154">
        <v>2677435871475.54</v>
      </c>
      <c r="J154">
        <v>1586002563233710</v>
      </c>
      <c r="K154">
        <v>4839103282220460</v>
      </c>
      <c r="L154">
        <v>927197173030779</v>
      </c>
      <c r="M154">
        <v>5766300455251240</v>
      </c>
      <c r="N154">
        <v>646311091495162</v>
      </c>
      <c r="O154">
        <v>77288651324125.594</v>
      </c>
      <c r="P154">
        <v>723599742819287</v>
      </c>
      <c r="Q154">
        <v>0</v>
      </c>
      <c r="R154">
        <v>0</v>
      </c>
      <c r="S154">
        <v>0</v>
      </c>
      <c r="T154">
        <v>0</v>
      </c>
      <c r="U154">
        <v>0</v>
      </c>
      <c r="V154">
        <v>0</v>
      </c>
      <c r="W154">
        <v>9945849445102880</v>
      </c>
      <c r="X154">
        <v>1099778153399200</v>
      </c>
      <c r="Y154">
        <v>1.1045627598502E+16</v>
      </c>
      <c r="Z154">
        <v>1.01692778195557E+16</v>
      </c>
      <c r="AA154">
        <v>1104593475393250</v>
      </c>
      <c r="AB154">
        <v>1.12738712949489E+16</v>
      </c>
      <c r="AC154">
        <v>2223643920391580</v>
      </c>
      <c r="AD154">
        <v>75919934270024</v>
      </c>
      <c r="AE154">
        <v>2299563854661600</v>
      </c>
      <c r="AF154">
        <v>277530922461993</v>
      </c>
      <c r="AG154">
        <v>4491231374032.0498</v>
      </c>
      <c r="AH154">
        <v>282022153836025</v>
      </c>
      <c r="AI154">
        <v>1568485115832310</v>
      </c>
      <c r="AJ154">
        <v>162954230407442</v>
      </c>
      <c r="AK154">
        <v>1731439346239750</v>
      </c>
      <c r="AL154">
        <v>1653228020798690</v>
      </c>
      <c r="AM154">
        <v>166016370341225</v>
      </c>
      <c r="AN154">
        <v>1819244391139920</v>
      </c>
      <c r="AO154">
        <v>8612364770777520</v>
      </c>
      <c r="AP154">
        <v>1095900061841480</v>
      </c>
      <c r="AQ154">
        <v>9708264832619000</v>
      </c>
      <c r="AR154"/>
      <c r="AS154">
        <f t="shared" si="23"/>
        <v>1.0178081900569546E+16</v>
      </c>
      <c r="AT154">
        <f t="shared" si="28"/>
        <v>1104949021786222.3</v>
      </c>
      <c r="AU154">
        <f t="shared" si="28"/>
        <v>1.1283030922355766E+16</v>
      </c>
      <c r="AV154">
        <f t="shared" si="27"/>
        <v>1.0008657528263134</v>
      </c>
      <c r="AW154">
        <f t="shared" si="27"/>
        <v>1.0003218798597788</v>
      </c>
      <c r="AX154">
        <f t="shared" si="27"/>
        <v>1.0008124651388357</v>
      </c>
      <c r="AY154"/>
      <c r="AZ154" s="24">
        <v>5870908420</v>
      </c>
      <c r="BA154">
        <f t="shared" si="29"/>
        <v>2258.2224526614068</v>
      </c>
      <c r="BB154">
        <f t="shared" si="29"/>
        <v>432.68708107042596</v>
      </c>
      <c r="BC154" s="23">
        <f t="shared" si="29"/>
        <v>2690.9095337318331</v>
      </c>
      <c r="BD154">
        <v>2701</v>
      </c>
      <c r="BE154"/>
    </row>
    <row r="155" spans="1:57" x14ac:dyDescent="0.3">
      <c r="A155">
        <v>1999</v>
      </c>
      <c r="B155">
        <v>-132751591345030</v>
      </c>
      <c r="C155">
        <v>-2572184973999.7402</v>
      </c>
      <c r="D155">
        <v>-135323776319030</v>
      </c>
      <c r="E155">
        <v>391931031376266</v>
      </c>
      <c r="F155">
        <v>13145619268328.699</v>
      </c>
      <c r="G155">
        <v>405076650644595</v>
      </c>
      <c r="H155">
        <v>1609744404683940</v>
      </c>
      <c r="I155">
        <v>2374965246309.8501</v>
      </c>
      <c r="J155">
        <v>1612119369930250</v>
      </c>
      <c r="K155">
        <v>4914184012716800</v>
      </c>
      <c r="L155">
        <v>953397304602179</v>
      </c>
      <c r="M155">
        <v>5867581317318980</v>
      </c>
      <c r="N155">
        <v>680627551737553</v>
      </c>
      <c r="O155">
        <v>80901743112714</v>
      </c>
      <c r="P155">
        <v>761529294850267</v>
      </c>
      <c r="Q155">
        <v>0</v>
      </c>
      <c r="R155">
        <v>0</v>
      </c>
      <c r="S155">
        <v>0</v>
      </c>
      <c r="T155">
        <v>0</v>
      </c>
      <c r="U155">
        <v>0</v>
      </c>
      <c r="V155">
        <v>0</v>
      </c>
      <c r="W155">
        <v>1.01093186014787E+16</v>
      </c>
      <c r="X155">
        <v>1135735646451120</v>
      </c>
      <c r="Y155">
        <v>1.12450542479299E+16</v>
      </c>
      <c r="Z155">
        <v>1.03033378382969E+16</v>
      </c>
      <c r="AA155">
        <v>1141578848987030</v>
      </c>
      <c r="AB155">
        <v>1.1444916687284E+16</v>
      </c>
      <c r="AC155">
        <v>2247383878293340</v>
      </c>
      <c r="AD155">
        <v>81796965619929.297</v>
      </c>
      <c r="AE155">
        <v>2329180843913270</v>
      </c>
      <c r="AF155">
        <v>276414244261075</v>
      </c>
      <c r="AG155">
        <v>4665012758012.75</v>
      </c>
      <c r="AH155">
        <v>281079257019088</v>
      </c>
      <c r="AI155">
        <v>1681891601739970</v>
      </c>
      <c r="AJ155">
        <v>176913181093620</v>
      </c>
      <c r="AK155">
        <v>1858804782833590</v>
      </c>
      <c r="AL155">
        <v>1742945756450280</v>
      </c>
      <c r="AM155">
        <v>180100638100203</v>
      </c>
      <c r="AN155">
        <v>1923046394550480</v>
      </c>
      <c r="AO155">
        <v>8698771560282140</v>
      </c>
      <c r="AP155">
        <v>1127534756027320</v>
      </c>
      <c r="AQ155">
        <v>9826306316309470</v>
      </c>
      <c r="AR155"/>
      <c r="AS155">
        <f t="shared" si="23"/>
        <v>1.0314090869124314E+16</v>
      </c>
      <c r="AT155">
        <f t="shared" si="28"/>
        <v>1142041252588056.3</v>
      </c>
      <c r="AU155">
        <f t="shared" si="28"/>
        <v>1.145613212171237E+16</v>
      </c>
      <c r="AV155">
        <f t="shared" si="27"/>
        <v>1.001043645369702</v>
      </c>
      <c r="AW155">
        <f t="shared" si="27"/>
        <v>1.0004050562091584</v>
      </c>
      <c r="AX155">
        <f t="shared" si="27"/>
        <v>1.0009799489795177</v>
      </c>
      <c r="AY155"/>
      <c r="AZ155" s="24">
        <v>5944640670</v>
      </c>
      <c r="BA155">
        <f t="shared" si="29"/>
        <v>2264.8160907360152</v>
      </c>
      <c r="BB155">
        <f t="shared" si="29"/>
        <v>439.39534025174032</v>
      </c>
      <c r="BC155" s="23">
        <f t="shared" si="29"/>
        <v>2704.2114309877561</v>
      </c>
      <c r="BD155">
        <v>2715</v>
      </c>
      <c r="BE155"/>
    </row>
    <row r="156" spans="1:57" x14ac:dyDescent="0.3">
      <c r="A156">
        <v>2000</v>
      </c>
      <c r="B156">
        <v>81731313875233.203</v>
      </c>
      <c r="C156">
        <v>-517924432484.367</v>
      </c>
      <c r="D156">
        <v>81213389442748.797</v>
      </c>
      <c r="E156">
        <v>400826977849843</v>
      </c>
      <c r="F156">
        <v>13434334043985.5</v>
      </c>
      <c r="G156">
        <v>414261311893829</v>
      </c>
      <c r="H156">
        <v>1632092778463180</v>
      </c>
      <c r="I156">
        <v>2229524844464.25</v>
      </c>
      <c r="J156">
        <v>1634322303307640</v>
      </c>
      <c r="K156">
        <v>4994925108183430</v>
      </c>
      <c r="L156">
        <v>974638064190313</v>
      </c>
      <c r="M156">
        <v>5969563172373750</v>
      </c>
      <c r="N156">
        <v>657662363108339</v>
      </c>
      <c r="O156">
        <v>81053210610160.406</v>
      </c>
      <c r="P156">
        <v>738715573718500</v>
      </c>
      <c r="Q156">
        <v>0</v>
      </c>
      <c r="R156">
        <v>0</v>
      </c>
      <c r="S156">
        <v>0</v>
      </c>
      <c r="T156">
        <v>0</v>
      </c>
      <c r="U156">
        <v>0</v>
      </c>
      <c r="V156">
        <v>0</v>
      </c>
      <c r="W156">
        <v>1.02670094242397E+16</v>
      </c>
      <c r="X156">
        <v>1161518121825300</v>
      </c>
      <c r="Y156">
        <v>1.1428527546065E+16</v>
      </c>
      <c r="Z156">
        <v>1.02456617157099E+16</v>
      </c>
      <c r="AA156">
        <v>1163748744278520</v>
      </c>
      <c r="AB156">
        <v>1.14094104599884E+16</v>
      </c>
      <c r="AC156">
        <v>2315498811092760</v>
      </c>
      <c r="AD156">
        <v>85987691972971.906</v>
      </c>
      <c r="AE156">
        <v>2401486503065730</v>
      </c>
      <c r="AF156">
        <v>276117382646896</v>
      </c>
      <c r="AG156">
        <v>4751139876554.5098</v>
      </c>
      <c r="AH156">
        <v>280868522523450</v>
      </c>
      <c r="AI156">
        <v>1738551463314530</v>
      </c>
      <c r="AJ156">
        <v>187418618023326</v>
      </c>
      <c r="AK156">
        <v>1925970081337850</v>
      </c>
      <c r="AL156">
        <v>1798402947980860</v>
      </c>
      <c r="AM156">
        <v>189103168443881</v>
      </c>
      <c r="AN156">
        <v>1987506116424740</v>
      </c>
      <c r="AO156">
        <v>8653190405330070</v>
      </c>
      <c r="AP156">
        <v>1150358816513650</v>
      </c>
      <c r="AQ156">
        <v>9803549221843730</v>
      </c>
      <c r="AR156"/>
      <c r="AS156">
        <f t="shared" si="23"/>
        <v>1.0255243592135544E+16</v>
      </c>
      <c r="AT156">
        <f t="shared" si="28"/>
        <v>1164296440391488.8</v>
      </c>
      <c r="AU156">
        <f t="shared" si="28"/>
        <v>1.141954003252704E+16</v>
      </c>
      <c r="AV156">
        <f t="shared" si="27"/>
        <v>1.0009352130386027</v>
      </c>
      <c r="AW156">
        <f t="shared" si="27"/>
        <v>1.0004706308949087</v>
      </c>
      <c r="AX156">
        <f t="shared" si="27"/>
        <v>1.0008878261128533</v>
      </c>
      <c r="AY156"/>
      <c r="AZ156" s="24">
        <v>6018298000</v>
      </c>
      <c r="BA156">
        <f t="shared" si="29"/>
        <v>2273.8532262427384</v>
      </c>
      <c r="BB156">
        <f t="shared" si="29"/>
        <v>443.68711415657418</v>
      </c>
      <c r="BC156" s="23">
        <f t="shared" si="29"/>
        <v>2717.5403403993155</v>
      </c>
      <c r="BD156">
        <v>2727</v>
      </c>
      <c r="BE156"/>
    </row>
    <row r="157" spans="1:57" x14ac:dyDescent="0.3">
      <c r="A157">
        <v>2001</v>
      </c>
      <c r="B157">
        <v>96294591718720.406</v>
      </c>
      <c r="C157">
        <v>145650385086.035</v>
      </c>
      <c r="D157">
        <v>96440242103806.406</v>
      </c>
      <c r="E157">
        <v>402622074542783</v>
      </c>
      <c r="F157">
        <v>13759161998860.801</v>
      </c>
      <c r="G157">
        <v>416381236541644</v>
      </c>
      <c r="H157">
        <v>1674841953449470</v>
      </c>
      <c r="I157">
        <v>2020598192585.8601</v>
      </c>
      <c r="J157">
        <v>1676862551642060</v>
      </c>
      <c r="K157">
        <v>5052444382658940</v>
      </c>
      <c r="L157">
        <v>984824075008789</v>
      </c>
      <c r="M157">
        <v>6037268457667730</v>
      </c>
      <c r="N157">
        <v>755187784303196</v>
      </c>
      <c r="O157">
        <v>84654304715260.297</v>
      </c>
      <c r="P157">
        <v>839842089018456</v>
      </c>
      <c r="Q157">
        <v>0</v>
      </c>
      <c r="R157">
        <v>0</v>
      </c>
      <c r="S157">
        <v>0</v>
      </c>
      <c r="T157">
        <v>0</v>
      </c>
      <c r="U157">
        <v>0</v>
      </c>
      <c r="V157">
        <v>0</v>
      </c>
      <c r="W157">
        <v>1.05496347844108E+16</v>
      </c>
      <c r="X157">
        <v>1171437875196280</v>
      </c>
      <c r="Y157">
        <v>1.17210726596071E+16</v>
      </c>
      <c r="Z157">
        <v>1.05235887857353E+16</v>
      </c>
      <c r="AA157">
        <v>1172728982291860</v>
      </c>
      <c r="AB157">
        <v>1.16963177680272E+16</v>
      </c>
      <c r="AC157">
        <v>2396741132326320</v>
      </c>
      <c r="AD157">
        <v>81977439551848</v>
      </c>
      <c r="AE157">
        <v>2478718571878170</v>
      </c>
      <c r="AF157">
        <v>278618069066102</v>
      </c>
      <c r="AG157">
        <v>4959332965318.8301</v>
      </c>
      <c r="AH157">
        <v>283577402031420</v>
      </c>
      <c r="AI157">
        <v>1800729956575300</v>
      </c>
      <c r="AJ157">
        <v>181889929134335</v>
      </c>
      <c r="AK157">
        <v>1982619885709630</v>
      </c>
      <c r="AL157">
        <v>1870505058534640</v>
      </c>
      <c r="AM157">
        <v>183130548941003</v>
      </c>
      <c r="AN157">
        <v>2053635607475640</v>
      </c>
      <c r="AO157">
        <v>8820690621245050</v>
      </c>
      <c r="AP157">
        <v>1161605152498950</v>
      </c>
      <c r="AQ157">
        <v>9982295773744010</v>
      </c>
      <c r="AR157"/>
      <c r="AS157">
        <f t="shared" si="23"/>
        <v>1.0533935906587432E+16</v>
      </c>
      <c r="AT157">
        <f t="shared" si="28"/>
        <v>1173289881854244.5</v>
      </c>
      <c r="AU157">
        <f t="shared" si="28"/>
        <v>1.1707225788441684E+16</v>
      </c>
      <c r="AV157">
        <f t="shared" si="27"/>
        <v>1.0009832312020932</v>
      </c>
      <c r="AW157">
        <f t="shared" si="27"/>
        <v>1.000478285751315</v>
      </c>
      <c r="AX157">
        <f t="shared" si="27"/>
        <v>1.0009326029465702</v>
      </c>
      <c r="AY157"/>
      <c r="AZ157" s="24">
        <v>6091901000</v>
      </c>
      <c r="BA157">
        <f t="shared" si="29"/>
        <v>2272.248576782154</v>
      </c>
      <c r="BB157">
        <f t="shared" si="29"/>
        <v>442.90741932756475</v>
      </c>
      <c r="BC157" s="23">
        <f t="shared" si="29"/>
        <v>2715.1559961097191</v>
      </c>
      <c r="BD157">
        <v>2725</v>
      </c>
      <c r="BE157"/>
    </row>
    <row r="158" spans="1:57" x14ac:dyDescent="0.3">
      <c r="A158">
        <v>2002</v>
      </c>
      <c r="B158">
        <v>301621259736595</v>
      </c>
      <c r="C158">
        <v>-2592651850158.1099</v>
      </c>
      <c r="D158">
        <v>299028607886437</v>
      </c>
      <c r="E158">
        <v>391377478842127</v>
      </c>
      <c r="F158">
        <v>14143133223825</v>
      </c>
      <c r="G158">
        <v>405520612065952</v>
      </c>
      <c r="H158">
        <v>1736089419683960</v>
      </c>
      <c r="I158">
        <v>2668389003576.4199</v>
      </c>
      <c r="J158">
        <v>1738757808687540</v>
      </c>
      <c r="K158">
        <v>5103417958880460</v>
      </c>
      <c r="L158">
        <v>1013381499183230</v>
      </c>
      <c r="M158">
        <v>6116799458063690</v>
      </c>
      <c r="N158">
        <v>900987562460370</v>
      </c>
      <c r="O158">
        <v>79211748952013.406</v>
      </c>
      <c r="P158">
        <v>980199311412383</v>
      </c>
      <c r="Q158">
        <v>0</v>
      </c>
      <c r="R158">
        <v>0</v>
      </c>
      <c r="S158">
        <v>0</v>
      </c>
      <c r="T158">
        <v>0</v>
      </c>
      <c r="U158">
        <v>0</v>
      </c>
      <c r="V158">
        <v>0</v>
      </c>
      <c r="W158">
        <v>1.07618064153153E+16</v>
      </c>
      <c r="X158">
        <v>1195479436789240</v>
      </c>
      <c r="Y158">
        <v>1.19572858521046E+16</v>
      </c>
      <c r="Z158">
        <v>1.05125390922221E+16</v>
      </c>
      <c r="AA158">
        <v>1202607023016190</v>
      </c>
      <c r="AB158">
        <v>1.17151461152383E+16</v>
      </c>
      <c r="AC158">
        <v>2367201850130480</v>
      </c>
      <c r="AD158">
        <v>82204913783156.5</v>
      </c>
      <c r="AE158">
        <v>2449406763913630</v>
      </c>
      <c r="AF158">
        <v>272617274319468</v>
      </c>
      <c r="AG158">
        <v>5071101915662.0996</v>
      </c>
      <c r="AH158">
        <v>277688376235130</v>
      </c>
      <c r="AI158">
        <v>1881767257437380</v>
      </c>
      <c r="AJ158">
        <v>184945916462406</v>
      </c>
      <c r="AK158">
        <v>2066713173899780</v>
      </c>
      <c r="AL158">
        <v>1933811283279200</v>
      </c>
      <c r="AM158">
        <v>189380867572720</v>
      </c>
      <c r="AN158">
        <v>2123192150851930</v>
      </c>
      <c r="AO158">
        <v>8687202525002000</v>
      </c>
      <c r="AP158">
        <v>1193766556068060</v>
      </c>
      <c r="AQ158">
        <v>9880969081070060</v>
      </c>
      <c r="AR158"/>
      <c r="AS158">
        <f t="shared" si="23"/>
        <v>1.0522114310422088E+16</v>
      </c>
      <c r="AT158">
        <f t="shared" si="28"/>
        <v>1203708389021935.5</v>
      </c>
      <c r="AU158">
        <f t="shared" si="28"/>
        <v>1.172582269944404E+16</v>
      </c>
      <c r="AV158">
        <f t="shared" si="27"/>
        <v>1.0009108378210048</v>
      </c>
      <c r="AW158">
        <f t="shared" si="27"/>
        <v>1.0009158153783131</v>
      </c>
      <c r="AX158">
        <f t="shared" si="27"/>
        <v>1.0009113487873491</v>
      </c>
      <c r="AY158"/>
      <c r="AZ158" s="24">
        <v>6165586000</v>
      </c>
      <c r="BA158">
        <f t="shared" si="29"/>
        <v>2267.7434084337478</v>
      </c>
      <c r="BB158">
        <f t="shared" si="29"/>
        <v>450.3039401275322</v>
      </c>
      <c r="BC158" s="23">
        <f t="shared" si="29"/>
        <v>2718.0473485612802</v>
      </c>
      <c r="BD158">
        <v>2728</v>
      </c>
      <c r="BE158"/>
    </row>
    <row r="159" spans="1:57" x14ac:dyDescent="0.3">
      <c r="A159">
        <v>2003</v>
      </c>
      <c r="B159">
        <v>157066692363188</v>
      </c>
      <c r="C159">
        <v>1521680267657.3</v>
      </c>
      <c r="D159">
        <v>158588372630845</v>
      </c>
      <c r="E159">
        <v>396210599662539</v>
      </c>
      <c r="F159">
        <v>14458434310757.1</v>
      </c>
      <c r="G159">
        <v>410669033973296</v>
      </c>
      <c r="H159">
        <v>1779982845260090</v>
      </c>
      <c r="I159">
        <v>2669835344960.0498</v>
      </c>
      <c r="J159">
        <v>1782652680605050</v>
      </c>
      <c r="K159">
        <v>5165367167472370</v>
      </c>
      <c r="L159">
        <v>1037821113576700</v>
      </c>
      <c r="M159">
        <v>6203188281049070</v>
      </c>
      <c r="N159">
        <v>954361122167418</v>
      </c>
      <c r="O159">
        <v>84369202783298.203</v>
      </c>
      <c r="P159">
        <v>1038730324950710</v>
      </c>
      <c r="Q159">
        <v>0</v>
      </c>
      <c r="R159">
        <v>0</v>
      </c>
      <c r="S159">
        <v>0</v>
      </c>
      <c r="T159">
        <v>0</v>
      </c>
      <c r="U159">
        <v>0</v>
      </c>
      <c r="V159">
        <v>0</v>
      </c>
      <c r="W159">
        <v>1.09499486321834E+16</v>
      </c>
      <c r="X159">
        <v>1223120839786070</v>
      </c>
      <c r="Y159">
        <v>1.21730694719695E+16</v>
      </c>
      <c r="Z159">
        <v>1.08297014248644E+16</v>
      </c>
      <c r="AA159">
        <v>1225267525760340</v>
      </c>
      <c r="AB159">
        <v>1.20549689506248E+16</v>
      </c>
      <c r="AC159">
        <v>2382511493907430</v>
      </c>
      <c r="AD159">
        <v>79862521871792.703</v>
      </c>
      <c r="AE159">
        <v>2462374015779220</v>
      </c>
      <c r="AF159">
        <v>281472158232702</v>
      </c>
      <c r="AG159">
        <v>5158554696383.6299</v>
      </c>
      <c r="AH159">
        <v>286630712929086</v>
      </c>
      <c r="AI159">
        <v>1959648206991290</v>
      </c>
      <c r="AJ159">
        <v>193358755414655</v>
      </c>
      <c r="AK159">
        <v>2153006962405950</v>
      </c>
      <c r="AL159">
        <v>1996230109108650</v>
      </c>
      <c r="AM159">
        <v>196842275378990</v>
      </c>
      <c r="AN159">
        <v>2193072384487640</v>
      </c>
      <c r="AO159">
        <v>8957389930748080</v>
      </c>
      <c r="AP159">
        <v>1215455349815270</v>
      </c>
      <c r="AQ159">
        <v>1.01728452805633E+16</v>
      </c>
      <c r="AR159"/>
      <c r="AS159">
        <f t="shared" si="23"/>
        <v>1.0839420596456722E+16</v>
      </c>
      <c r="AT159">
        <f t="shared" si="28"/>
        <v>1226301502280569.5</v>
      </c>
      <c r="AU159">
        <f t="shared" si="28"/>
        <v>1.2065722098737278E+16</v>
      </c>
      <c r="AV159">
        <f t="shared" si="27"/>
        <v>1.0008974551754499</v>
      </c>
      <c r="AW159">
        <f t="shared" si="27"/>
        <v>1.0008438781723101</v>
      </c>
      <c r="AX159">
        <f t="shared" si="27"/>
        <v>1.0008920096067042</v>
      </c>
      <c r="AY159"/>
      <c r="AZ159" s="24">
        <v>6239508000</v>
      </c>
      <c r="BA159">
        <f t="shared" si="29"/>
        <v>2268.0780070780124</v>
      </c>
      <c r="BB159">
        <f t="shared" si="29"/>
        <v>455.70027583080162</v>
      </c>
      <c r="BC159" s="23">
        <f t="shared" si="29"/>
        <v>2723.7782829088142</v>
      </c>
      <c r="BD159">
        <v>2735</v>
      </c>
      <c r="BE159"/>
    </row>
    <row r="160" spans="1:57" x14ac:dyDescent="0.3">
      <c r="A160">
        <v>2004</v>
      </c>
      <c r="B160">
        <v>-189752323348433</v>
      </c>
      <c r="C160">
        <v>-735960764002.66699</v>
      </c>
      <c r="D160">
        <v>-190488284112435</v>
      </c>
      <c r="E160">
        <v>407267801548008</v>
      </c>
      <c r="F160">
        <v>15264937836044.699</v>
      </c>
      <c r="G160">
        <v>422532739384052</v>
      </c>
      <c r="H160">
        <v>1841898030074880</v>
      </c>
      <c r="I160">
        <v>2714656955962.0698</v>
      </c>
      <c r="J160">
        <v>1844612687030850</v>
      </c>
      <c r="K160">
        <v>5243921380363880</v>
      </c>
      <c r="L160">
        <v>1056478171494440</v>
      </c>
      <c r="M160">
        <v>6300399551858330</v>
      </c>
      <c r="N160">
        <v>988121503213541</v>
      </c>
      <c r="O160">
        <v>84851629379919.594</v>
      </c>
      <c r="P160">
        <v>1072973132593460</v>
      </c>
      <c r="Q160">
        <v>0</v>
      </c>
      <c r="R160">
        <v>0</v>
      </c>
      <c r="S160">
        <v>0</v>
      </c>
      <c r="T160">
        <v>0</v>
      </c>
      <c r="U160">
        <v>0</v>
      </c>
      <c r="V160">
        <v>0</v>
      </c>
      <c r="W160">
        <v>1.12930962834949E+16</v>
      </c>
      <c r="X160">
        <v>1245158521893130</v>
      </c>
      <c r="Y160">
        <v>1.2538254805388E+16</v>
      </c>
      <c r="Z160">
        <v>1.15418238799772E+16</v>
      </c>
      <c r="AA160">
        <v>1251865719285430</v>
      </c>
      <c r="AB160">
        <v>1.27936895992627E+16</v>
      </c>
      <c r="AC160">
        <v>2541652795278480</v>
      </c>
      <c r="AD160">
        <v>81285443249346.906</v>
      </c>
      <c r="AE160">
        <v>2622938238527830</v>
      </c>
      <c r="AF160">
        <v>284781645980634</v>
      </c>
      <c r="AG160">
        <v>5287397473668.3604</v>
      </c>
      <c r="AH160">
        <v>290069043454303</v>
      </c>
      <c r="AI160">
        <v>2000223502528880</v>
      </c>
      <c r="AJ160">
        <v>206485815926762</v>
      </c>
      <c r="AK160">
        <v>2206709318455650</v>
      </c>
      <c r="AL160">
        <v>2058911985878670</v>
      </c>
      <c r="AM160">
        <v>212462442709331</v>
      </c>
      <c r="AN160">
        <v>2271374428588000</v>
      </c>
      <c r="AO160">
        <v>9660865430386430</v>
      </c>
      <c r="AP160">
        <v>1240883633910630</v>
      </c>
      <c r="AQ160">
        <v>1.0901749064297E+16</v>
      </c>
      <c r="AR160"/>
      <c r="AS160">
        <f t="shared" si="23"/>
        <v>1.1556083963157644E+16</v>
      </c>
      <c r="AT160">
        <f t="shared" si="28"/>
        <v>1252594823935953.3</v>
      </c>
      <c r="AU160">
        <f t="shared" si="28"/>
        <v>1.280867878709361E+16</v>
      </c>
      <c r="AV160">
        <f t="shared" si="27"/>
        <v>1.0012355138432829</v>
      </c>
      <c r="AW160">
        <f t="shared" si="27"/>
        <v>1.0005824144229618</v>
      </c>
      <c r="AX160">
        <f t="shared" si="27"/>
        <v>1.001171607902053</v>
      </c>
      <c r="AY160"/>
      <c r="AZ160" s="24">
        <v>6313822000</v>
      </c>
      <c r="BA160">
        <f t="shared" si="29"/>
        <v>2275.4692627394138</v>
      </c>
      <c r="BB160">
        <f t="shared" si="29"/>
        <v>458.4324271131469</v>
      </c>
      <c r="BC160" s="23">
        <f t="shared" si="29"/>
        <v>2733.9016898525651</v>
      </c>
      <c r="BD160">
        <v>2747</v>
      </c>
      <c r="BE160"/>
    </row>
    <row r="161" spans="1:58" x14ac:dyDescent="0.3">
      <c r="A161">
        <v>2005</v>
      </c>
      <c r="B161">
        <v>-52459805653061.703</v>
      </c>
      <c r="C161">
        <v>2712040049815.4399</v>
      </c>
      <c r="D161">
        <v>-49747765603246.297</v>
      </c>
      <c r="E161">
        <v>406406963863175</v>
      </c>
      <c r="F161">
        <v>14648047073831.699</v>
      </c>
      <c r="G161">
        <v>421055010937007</v>
      </c>
      <c r="H161">
        <v>1923829975985730</v>
      </c>
      <c r="I161">
        <v>2416331932983.2002</v>
      </c>
      <c r="J161">
        <v>1926246307918710</v>
      </c>
      <c r="K161">
        <v>5334296340156690</v>
      </c>
      <c r="L161">
        <v>1080460994362630</v>
      </c>
      <c r="M161">
        <v>6414757334519320</v>
      </c>
      <c r="N161">
        <v>1101444395376440</v>
      </c>
      <c r="O161">
        <v>90423800656792.594</v>
      </c>
      <c r="P161">
        <v>1191868196033240</v>
      </c>
      <c r="Q161">
        <v>0</v>
      </c>
      <c r="R161">
        <v>0</v>
      </c>
      <c r="S161">
        <v>0</v>
      </c>
      <c r="T161">
        <v>0</v>
      </c>
      <c r="U161">
        <v>0</v>
      </c>
      <c r="V161">
        <v>0</v>
      </c>
      <c r="W161">
        <v>1.15435007424756E+16</v>
      </c>
      <c r="X161">
        <v>1274300974887250</v>
      </c>
      <c r="Y161">
        <v>1.28178017173629E+16</v>
      </c>
      <c r="Z161">
        <v>1.16884378323946E+16</v>
      </c>
      <c r="AA161">
        <v>1278592170278520</v>
      </c>
      <c r="AB161">
        <v>1.29670300026731E+16</v>
      </c>
      <c r="AC161">
        <v>2516909672286710</v>
      </c>
      <c r="AD161">
        <v>81379244636316.5</v>
      </c>
      <c r="AE161">
        <v>2598288916923020</v>
      </c>
      <c r="AF161">
        <v>279103598707901</v>
      </c>
      <c r="AG161">
        <v>5545211025650.9902</v>
      </c>
      <c r="AH161">
        <v>284648809733552</v>
      </c>
      <c r="AI161">
        <v>2140749916865130</v>
      </c>
      <c r="AJ161">
        <v>210603778045195</v>
      </c>
      <c r="AK161">
        <v>2351353694910330</v>
      </c>
      <c r="AL161">
        <v>2232401996212830</v>
      </c>
      <c r="AM161">
        <v>217425337289346</v>
      </c>
      <c r="AN161">
        <v>2449827333502180</v>
      </c>
      <c r="AO161">
        <v>9703098099587050</v>
      </c>
      <c r="AP161">
        <v>1269157878789260</v>
      </c>
      <c r="AQ161">
        <v>1.09722559783763E+16</v>
      </c>
      <c r="AR161"/>
      <c r="AS161">
        <f t="shared" si="23"/>
        <v>1.1706102831377408E+16</v>
      </c>
      <c r="AT161">
        <f t="shared" si="28"/>
        <v>1278983148882540.5</v>
      </c>
      <c r="AU161">
        <f t="shared" si="28"/>
        <v>1.2985085980259946E+16</v>
      </c>
      <c r="AV161">
        <f t="shared" si="27"/>
        <v>1.0015113224911758</v>
      </c>
      <c r="AW161">
        <f t="shared" si="27"/>
        <v>1.000305788360909</v>
      </c>
      <c r="AX161">
        <f t="shared" si="27"/>
        <v>1.0013924528271412</v>
      </c>
      <c r="AY161"/>
      <c r="AZ161" s="24">
        <v>6388641000</v>
      </c>
      <c r="BA161">
        <f t="shared" si="29"/>
        <v>2287.5773612850107</v>
      </c>
      <c r="BB161">
        <f t="shared" si="29"/>
        <v>463.34848175735999</v>
      </c>
      <c r="BC161" s="23">
        <f t="shared" si="29"/>
        <v>2750.9258430423706</v>
      </c>
      <c r="BD161">
        <v>2761</v>
      </c>
      <c r="BE161"/>
    </row>
    <row r="162" spans="1:58" x14ac:dyDescent="0.3">
      <c r="A162">
        <v>2006</v>
      </c>
      <c r="B162">
        <v>75535628869000</v>
      </c>
      <c r="C162">
        <v>1190702928414.1399</v>
      </c>
      <c r="D162">
        <v>76726331797414.203</v>
      </c>
      <c r="E162">
        <v>423452212721120</v>
      </c>
      <c r="F162">
        <v>15468679440490.9</v>
      </c>
      <c r="G162">
        <v>438920892161611</v>
      </c>
      <c r="H162">
        <v>1996031263479750</v>
      </c>
      <c r="I162">
        <v>2613876512815.9302</v>
      </c>
      <c r="J162">
        <v>1998645139992570</v>
      </c>
      <c r="K162">
        <v>5419992094099460</v>
      </c>
      <c r="L162">
        <v>1110754430905150</v>
      </c>
      <c r="M162">
        <v>6530746525004620</v>
      </c>
      <c r="N162">
        <v>1250154713739550</v>
      </c>
      <c r="O162">
        <v>92140288756841.203</v>
      </c>
      <c r="P162">
        <v>1342295002496390</v>
      </c>
      <c r="Q162">
        <v>0</v>
      </c>
      <c r="R162">
        <v>0</v>
      </c>
      <c r="S162">
        <v>0</v>
      </c>
      <c r="T162">
        <v>0</v>
      </c>
      <c r="U162">
        <v>0</v>
      </c>
      <c r="V162">
        <v>0</v>
      </c>
      <c r="W162">
        <v>1.18152750783846E+16</v>
      </c>
      <c r="X162">
        <v>1305580567168300</v>
      </c>
      <c r="Y162">
        <v>1.31208556455529E+16</v>
      </c>
      <c r="Z162">
        <v>1.17897567919083E+16</v>
      </c>
      <c r="AA162">
        <v>1307056417330310</v>
      </c>
      <c r="AB162">
        <v>1.30968132092386E+16</v>
      </c>
      <c r="AC162">
        <v>2468091229025420</v>
      </c>
      <c r="AD162">
        <v>79486947778926.203</v>
      </c>
      <c r="AE162">
        <v>2547578176804340</v>
      </c>
      <c r="AF162">
        <v>278286104108969</v>
      </c>
      <c r="AG162">
        <v>5733031312775.5098</v>
      </c>
      <c r="AH162">
        <v>284019135421745</v>
      </c>
      <c r="AI162">
        <v>2330274768493680</v>
      </c>
      <c r="AJ162">
        <v>217001703940562</v>
      </c>
      <c r="AK162">
        <v>2547276472434250</v>
      </c>
      <c r="AL162">
        <v>2379873793883510</v>
      </c>
      <c r="AM162">
        <v>219665772224875</v>
      </c>
      <c r="AN162">
        <v>2599539566108390</v>
      </c>
      <c r="AO162">
        <v>9653253019547470</v>
      </c>
      <c r="AP162">
        <v>1297106381606150</v>
      </c>
      <c r="AQ162">
        <v>1.09503594011536E+16</v>
      </c>
      <c r="AR162"/>
      <c r="AS162">
        <f t="shared" si="23"/>
        <v>1.18100710136951E+16</v>
      </c>
      <c r="AT162">
        <f t="shared" si="28"/>
        <v>1307670620062898.8</v>
      </c>
      <c r="AU162">
        <f t="shared" si="28"/>
        <v>1.3117741633758E+16</v>
      </c>
      <c r="AV162">
        <f t="shared" si="27"/>
        <v>1.0017230399358825</v>
      </c>
      <c r="AW162">
        <f t="shared" si="27"/>
        <v>1.0004699129467136</v>
      </c>
      <c r="AX162">
        <f t="shared" si="27"/>
        <v>1.0015979783925326</v>
      </c>
      <c r="AY162"/>
      <c r="AZ162" s="24">
        <v>6464065000</v>
      </c>
      <c r="BA162">
        <f t="shared" si="29"/>
        <v>2297.2066971003032</v>
      </c>
      <c r="BB162">
        <f t="shared" si="29"/>
        <v>470.78159399660603</v>
      </c>
      <c r="BC162" s="23">
        <f t="shared" si="29"/>
        <v>2767.9882910969136</v>
      </c>
      <c r="BD162">
        <v>2779</v>
      </c>
      <c r="BE162"/>
    </row>
    <row r="163" spans="1:58" x14ac:dyDescent="0.3">
      <c r="A163">
        <v>2007</v>
      </c>
      <c r="B163">
        <v>-61161334307100.5</v>
      </c>
      <c r="C163">
        <v>-430028320076.83398</v>
      </c>
      <c r="D163">
        <v>-61591362627177.297</v>
      </c>
      <c r="E163">
        <v>435342826851148</v>
      </c>
      <c r="F163">
        <v>16580290665474.9</v>
      </c>
      <c r="G163">
        <v>451923117516623</v>
      </c>
      <c r="H163">
        <v>2087576477396910</v>
      </c>
      <c r="I163">
        <v>2671295683199.6699</v>
      </c>
      <c r="J163">
        <v>2090247773080110</v>
      </c>
      <c r="K163">
        <v>5520739089722770</v>
      </c>
      <c r="L163">
        <v>1146806037749330</v>
      </c>
      <c r="M163">
        <v>6667545127472100</v>
      </c>
      <c r="N163">
        <v>1386196017660770</v>
      </c>
      <c r="O163">
        <v>97262274831612.703</v>
      </c>
      <c r="P163">
        <v>1483458292492390</v>
      </c>
      <c r="Q163">
        <v>0</v>
      </c>
      <c r="R163">
        <v>0</v>
      </c>
      <c r="S163">
        <v>0</v>
      </c>
      <c r="T163">
        <v>0</v>
      </c>
      <c r="U163">
        <v>0</v>
      </c>
      <c r="V163">
        <v>0</v>
      </c>
      <c r="W163">
        <v>1.22126482374889E+16</v>
      </c>
      <c r="X163">
        <v>1346942488230310</v>
      </c>
      <c r="Y163">
        <v>1.35595907257192E+16</v>
      </c>
      <c r="Z163">
        <v>1.23062286471815E+16</v>
      </c>
      <c r="AA163">
        <v>1347136336562940</v>
      </c>
      <c r="AB163">
        <v>1.36533649837445E+16</v>
      </c>
      <c r="AC163">
        <v>2520336461282370</v>
      </c>
      <c r="AD163">
        <v>77949748682629.094</v>
      </c>
      <c r="AE163">
        <v>2598286209965000</v>
      </c>
      <c r="AF163">
        <v>283301913797432</v>
      </c>
      <c r="AG163">
        <v>6201244266356.5596</v>
      </c>
      <c r="AH163">
        <v>289503158063789</v>
      </c>
      <c r="AI163">
        <v>2425667945059930</v>
      </c>
      <c r="AJ163">
        <v>229143642315967</v>
      </c>
      <c r="AK163">
        <v>2654811587375890</v>
      </c>
      <c r="AL163">
        <v>2457652374580510</v>
      </c>
      <c r="AM163">
        <v>228804137615705</v>
      </c>
      <c r="AN163">
        <v>2686456512196220</v>
      </c>
      <c r="AO163">
        <v>1.00864937255505E+16</v>
      </c>
      <c r="AP163">
        <v>1336414777794710</v>
      </c>
      <c r="AQ163">
        <v>1.14229085033453E+16</v>
      </c>
      <c r="AR163"/>
      <c r="AS163">
        <f t="shared" si="23"/>
        <v>1.232663855053908E+16</v>
      </c>
      <c r="AT163">
        <f t="shared" si="28"/>
        <v>1347561415498417.8</v>
      </c>
      <c r="AU163">
        <f t="shared" si="28"/>
        <v>1.3674199966037518E+16</v>
      </c>
      <c r="AV163">
        <f t="shared" si="27"/>
        <v>1.0016585018808548</v>
      </c>
      <c r="AW163">
        <f t="shared" si="27"/>
        <v>1.0003155426247075</v>
      </c>
      <c r="AX163">
        <f t="shared" si="27"/>
        <v>1.0015259961421836</v>
      </c>
      <c r="AY163"/>
      <c r="AZ163" s="24">
        <v>6539921000</v>
      </c>
      <c r="BA163">
        <f t="shared" si="29"/>
        <v>2312.7668628692809</v>
      </c>
      <c r="BB163">
        <f t="shared" si="29"/>
        <v>480.42389961563214</v>
      </c>
      <c r="BC163" s="23">
        <f t="shared" si="29"/>
        <v>2793.1907624849132</v>
      </c>
      <c r="BD163">
        <v>2807</v>
      </c>
      <c r="BE163"/>
    </row>
    <row r="164" spans="1:58" x14ac:dyDescent="0.3">
      <c r="A164">
        <v>2008</v>
      </c>
      <c r="B164">
        <v>-329426584561039</v>
      </c>
      <c r="C164">
        <v>-1569657849665.78</v>
      </c>
      <c r="D164">
        <v>-330996242410705</v>
      </c>
      <c r="E164">
        <v>470391626303293</v>
      </c>
      <c r="F164">
        <v>17639530722104.602</v>
      </c>
      <c r="G164">
        <v>488031157025397</v>
      </c>
      <c r="H164">
        <v>2050034533646370</v>
      </c>
      <c r="I164">
        <v>2402825134117.4702</v>
      </c>
      <c r="J164">
        <v>2052437358780490</v>
      </c>
      <c r="K164">
        <v>5614337841891300</v>
      </c>
      <c r="L164">
        <v>1171097749884350</v>
      </c>
      <c r="M164">
        <v>6785435591775660</v>
      </c>
      <c r="N164">
        <v>1428792651875830</v>
      </c>
      <c r="O164">
        <v>97687065701373.406</v>
      </c>
      <c r="P164">
        <v>1526479717577210</v>
      </c>
      <c r="Q164">
        <v>0</v>
      </c>
      <c r="R164">
        <v>0</v>
      </c>
      <c r="S164">
        <v>0</v>
      </c>
      <c r="T164">
        <v>0</v>
      </c>
      <c r="U164">
        <v>0</v>
      </c>
      <c r="V164">
        <v>0</v>
      </c>
      <c r="W164">
        <v>1.25070689662506E+16</v>
      </c>
      <c r="X164">
        <v>1374256040543550</v>
      </c>
      <c r="Y164">
        <v>1.38813250067942E+16</v>
      </c>
      <c r="Z164">
        <v>1.29023183222828E+16</v>
      </c>
      <c r="AA164">
        <v>1379783368548770</v>
      </c>
      <c r="AB164">
        <v>1.42821016908315E+16</v>
      </c>
      <c r="AC164">
        <v>2679078538629460</v>
      </c>
      <c r="AD164">
        <v>79769185104410.5</v>
      </c>
      <c r="AE164">
        <v>2758847723733870</v>
      </c>
      <c r="AF164">
        <v>284600169701781</v>
      </c>
      <c r="AG164">
        <v>6365748385183.96</v>
      </c>
      <c r="AH164">
        <v>290965918086964</v>
      </c>
      <c r="AI164">
        <v>2487726132948310</v>
      </c>
      <c r="AJ164">
        <v>235006379905422</v>
      </c>
      <c r="AK164">
        <v>2722732512853730</v>
      </c>
      <c r="AL164">
        <v>2552986613229260</v>
      </c>
      <c r="AM164">
        <v>238977039816492</v>
      </c>
      <c r="AN164">
        <v>2791963653045750</v>
      </c>
      <c r="AO164">
        <v>1.07354160938307E+16</v>
      </c>
      <c r="AP164">
        <v>1368467985239400</v>
      </c>
      <c r="AQ164">
        <v>1.21038840790701E+16</v>
      </c>
      <c r="AR164"/>
      <c r="AS164">
        <f t="shared" si="23"/>
        <v>1.2921922426890022E+16</v>
      </c>
      <c r="AT164">
        <f t="shared" si="28"/>
        <v>1380502422692275.8</v>
      </c>
      <c r="AU164">
        <f t="shared" si="28"/>
        <v>1.4302424849582314E+16</v>
      </c>
      <c r="AV164">
        <f t="shared" si="27"/>
        <v>1.0015194249682529</v>
      </c>
      <c r="AW164">
        <f t="shared" si="27"/>
        <v>1.0005211355346759</v>
      </c>
      <c r="AX164">
        <f t="shared" si="27"/>
        <v>1.0014229809583179</v>
      </c>
      <c r="AY164"/>
      <c r="AZ164" s="24">
        <v>6616356000</v>
      </c>
      <c r="BA164">
        <f t="shared" si="29"/>
        <v>2324.8065116252751</v>
      </c>
      <c r="BB164">
        <f t="shared" si="29"/>
        <v>484.93264056295044</v>
      </c>
      <c r="BC164" s="23">
        <f t="shared" si="29"/>
        <v>2809.7391521882296</v>
      </c>
      <c r="BD164">
        <v>2825</v>
      </c>
      <c r="BE164"/>
    </row>
    <row r="165" spans="1:58" x14ac:dyDescent="0.3">
      <c r="A165">
        <v>2009</v>
      </c>
      <c r="B165">
        <v>-109682819598864</v>
      </c>
      <c r="C165">
        <v>4023985901213.5498</v>
      </c>
      <c r="D165">
        <v>-105658833697650</v>
      </c>
      <c r="E165">
        <v>471192067646558</v>
      </c>
      <c r="F165">
        <v>17503225056982.9</v>
      </c>
      <c r="G165">
        <v>488695292703541</v>
      </c>
      <c r="H165">
        <v>2084615085880340</v>
      </c>
      <c r="I165">
        <v>2540563827914.8799</v>
      </c>
      <c r="J165">
        <v>2087155649708250</v>
      </c>
      <c r="K165">
        <v>5679671763882850</v>
      </c>
      <c r="L165">
        <v>1189386066986730</v>
      </c>
      <c r="M165">
        <v>6869057830869590</v>
      </c>
      <c r="N165">
        <v>1583166518776030</v>
      </c>
      <c r="O165">
        <v>96553715344159.5</v>
      </c>
      <c r="P165">
        <v>1679720234120190</v>
      </c>
      <c r="Q165">
        <v>0</v>
      </c>
      <c r="R165">
        <v>0</v>
      </c>
      <c r="S165">
        <v>0</v>
      </c>
      <c r="T165">
        <v>0</v>
      </c>
      <c r="U165">
        <v>0</v>
      </c>
      <c r="V165">
        <v>0</v>
      </c>
      <c r="W165">
        <v>1.26277467949661E+16</v>
      </c>
      <c r="X165">
        <v>1390701982344280</v>
      </c>
      <c r="Y165">
        <v>1.40184487773104E+16</v>
      </c>
      <c r="Z165">
        <v>1.28297545296615E+16</v>
      </c>
      <c r="AA165">
        <v>1395319455525180</v>
      </c>
      <c r="AB165">
        <v>1.42250739851867E+16</v>
      </c>
      <c r="AC165">
        <v>2544545529718840</v>
      </c>
      <c r="AD165">
        <v>79133408322679.203</v>
      </c>
      <c r="AE165">
        <v>2623678938041520</v>
      </c>
      <c r="AF165">
        <v>285083487339398</v>
      </c>
      <c r="AG165">
        <v>6594067981898.71</v>
      </c>
      <c r="AH165">
        <v>291677555321296</v>
      </c>
      <c r="AI165">
        <v>2544322930750360</v>
      </c>
      <c r="AJ165">
        <v>234485365009192</v>
      </c>
      <c r="AK165">
        <v>2778808295759550</v>
      </c>
      <c r="AL165">
        <v>2636222556462860</v>
      </c>
      <c r="AM165">
        <v>243076463467165</v>
      </c>
      <c r="AN165">
        <v>2879299019930030</v>
      </c>
      <c r="AO165">
        <v>1.06223324723043E+16</v>
      </c>
      <c r="AP165">
        <v>1384595997638000</v>
      </c>
      <c r="AQ165">
        <v>1.20069284699424E+16</v>
      </c>
      <c r="AR165"/>
      <c r="AS165">
        <f t="shared" si="23"/>
        <v>1.284985689855538E+16</v>
      </c>
      <c r="AT165">
        <f t="shared" si="28"/>
        <v>1396278160077125</v>
      </c>
      <c r="AU165">
        <f t="shared" si="28"/>
        <v>1.4246135058632516E+16</v>
      </c>
      <c r="AV165">
        <f t="shared" si="27"/>
        <v>1.001566855300887</v>
      </c>
      <c r="AW165">
        <f t="shared" si="27"/>
        <v>1.0006870860634449</v>
      </c>
      <c r="AX165">
        <f t="shared" si="27"/>
        <v>1.0014805598528167</v>
      </c>
      <c r="AY165"/>
      <c r="AZ165" s="24">
        <v>6693385000</v>
      </c>
      <c r="BA165">
        <f t="shared" si="29"/>
        <v>2324.7944886754835</v>
      </c>
      <c r="BB165">
        <f t="shared" si="29"/>
        <v>486.83767097622587</v>
      </c>
      <c r="BC165" s="23">
        <f t="shared" si="29"/>
        <v>2811.6321596517132</v>
      </c>
      <c r="BD165">
        <v>2825</v>
      </c>
      <c r="BE165"/>
    </row>
    <row r="166" spans="1:58" x14ac:dyDescent="0.3">
      <c r="A166">
        <v>2010</v>
      </c>
      <c r="B166">
        <v>59671386949914.102</v>
      </c>
      <c r="C166">
        <v>3037941430612.5898</v>
      </c>
      <c r="D166">
        <v>62709328380526.703</v>
      </c>
      <c r="E166">
        <v>495086080865031</v>
      </c>
      <c r="F166">
        <v>17033236054452.1</v>
      </c>
      <c r="G166">
        <v>512119316919483</v>
      </c>
      <c r="H166">
        <v>2202431035504020</v>
      </c>
      <c r="I166">
        <v>2359667313383.3101</v>
      </c>
      <c r="J166">
        <v>2204790702817410</v>
      </c>
      <c r="K166">
        <v>5789913121039000</v>
      </c>
      <c r="L166">
        <v>1218335535183550</v>
      </c>
      <c r="M166">
        <v>7008248656222550</v>
      </c>
      <c r="N166">
        <v>1709110187072970</v>
      </c>
      <c r="O166">
        <v>94882321149435.797</v>
      </c>
      <c r="P166">
        <v>1803992508222410</v>
      </c>
      <c r="Q166">
        <v>0</v>
      </c>
      <c r="R166">
        <v>0</v>
      </c>
      <c r="S166">
        <v>0</v>
      </c>
      <c r="T166">
        <v>0</v>
      </c>
      <c r="U166">
        <v>0</v>
      </c>
      <c r="V166">
        <v>0</v>
      </c>
      <c r="W166">
        <v>1.30350473409831E+16</v>
      </c>
      <c r="X166">
        <v>1417007425369530</v>
      </c>
      <c r="Y166">
        <v>1.44520547663526E+16</v>
      </c>
      <c r="Z166">
        <v>1.30917884537827E+16</v>
      </c>
      <c r="AA166">
        <v>1423301437362700</v>
      </c>
      <c r="AB166">
        <v>1.45150898911454E+16</v>
      </c>
      <c r="AC166">
        <v>2572698327415920</v>
      </c>
      <c r="AD166">
        <v>78727522838686.094</v>
      </c>
      <c r="AE166">
        <v>2651425850254600</v>
      </c>
      <c r="AF166">
        <v>285248766542527</v>
      </c>
      <c r="AG166">
        <v>6878788344814.5</v>
      </c>
      <c r="AH166">
        <v>292127554887341</v>
      </c>
      <c r="AI166">
        <v>2673021531852400</v>
      </c>
      <c r="AJ166">
        <v>241536498564193</v>
      </c>
      <c r="AK166">
        <v>2914558030416590</v>
      </c>
      <c r="AL166">
        <v>2788742341489230</v>
      </c>
      <c r="AM166">
        <v>250745436062283</v>
      </c>
      <c r="AN166">
        <v>3039487777551510</v>
      </c>
      <c r="AO166">
        <v>1.07820446036212E+16</v>
      </c>
      <c r="AP166">
        <v>1413149791346470</v>
      </c>
      <c r="AQ166">
        <v>1.21951943949677E+16</v>
      </c>
      <c r="AR166"/>
      <c r="AS166">
        <f t="shared" si="23"/>
        <v>1.3110536941126384E+16</v>
      </c>
      <c r="AT166">
        <f t="shared" si="28"/>
        <v>1424388066951799</v>
      </c>
      <c r="AU166">
        <f t="shared" si="28"/>
        <v>1.4534925008078188E+16</v>
      </c>
      <c r="AV166">
        <f t="shared" si="27"/>
        <v>1.0014320799186354</v>
      </c>
      <c r="AW166">
        <f t="shared" si="27"/>
        <v>1.0007634571009163</v>
      </c>
      <c r="AX166">
        <f t="shared" si="27"/>
        <v>1.0013665169889776</v>
      </c>
      <c r="AY166"/>
      <c r="AZ166" s="24">
        <v>6770979000</v>
      </c>
      <c r="BA166">
        <f t="shared" si="29"/>
        <v>2342.7595439417923</v>
      </c>
      <c r="BB166">
        <f t="shared" si="29"/>
        <v>492.97237162385858</v>
      </c>
      <c r="BC166" s="23">
        <f t="shared" si="29"/>
        <v>2835.731915565651</v>
      </c>
      <c r="BD166">
        <v>2850</v>
      </c>
      <c r="BE166"/>
    </row>
    <row r="167" spans="1:58" x14ac:dyDescent="0.3">
      <c r="A167">
        <v>2011</v>
      </c>
      <c r="B167">
        <v>-159533270033210</v>
      </c>
      <c r="C167">
        <v>-3346725380340.8701</v>
      </c>
      <c r="D167">
        <v>-162879995413551</v>
      </c>
      <c r="E167">
        <v>539632545291379</v>
      </c>
      <c r="F167">
        <v>17684299014157.199</v>
      </c>
      <c r="G167">
        <v>557316844305536</v>
      </c>
      <c r="H167">
        <v>2295791901477830</v>
      </c>
      <c r="I167">
        <v>2331879612486.6299</v>
      </c>
      <c r="J167">
        <v>2298123781090320</v>
      </c>
      <c r="K167">
        <v>5895756026628750</v>
      </c>
      <c r="L167">
        <v>1239739527044320</v>
      </c>
      <c r="M167">
        <v>7135495553673070</v>
      </c>
      <c r="N167">
        <v>1752900063500900</v>
      </c>
      <c r="O167">
        <v>96391279336317.5</v>
      </c>
      <c r="P167">
        <v>1849291342837220</v>
      </c>
      <c r="Q167">
        <v>0</v>
      </c>
      <c r="R167">
        <v>0</v>
      </c>
      <c r="S167">
        <v>0</v>
      </c>
      <c r="T167">
        <v>0</v>
      </c>
      <c r="U167">
        <v>0</v>
      </c>
      <c r="V167">
        <v>0</v>
      </c>
      <c r="W167">
        <v>1.3458772282255E+16</v>
      </c>
      <c r="X167">
        <v>1443204510163390</v>
      </c>
      <c r="Y167">
        <v>1.49019767924184E+16</v>
      </c>
      <c r="Z167">
        <v>1.3707276426988E+16</v>
      </c>
      <c r="AA167">
        <v>1451997903733090</v>
      </c>
      <c r="AB167">
        <v>1.51592743307211E+16</v>
      </c>
      <c r="AC167">
        <v>2709353378012030</v>
      </c>
      <c r="AD167">
        <v>81275296996522.594</v>
      </c>
      <c r="AE167">
        <v>2790628675008550</v>
      </c>
      <c r="AF167">
        <v>286604044729501</v>
      </c>
      <c r="AG167">
        <v>7047611710524.71</v>
      </c>
      <c r="AH167">
        <v>293651656440026</v>
      </c>
      <c r="AI167">
        <v>2791362048461810</v>
      </c>
      <c r="AJ167">
        <v>251526702460053</v>
      </c>
      <c r="AK167">
        <v>3042888750921860</v>
      </c>
      <c r="AL167">
        <v>2879742602285300</v>
      </c>
      <c r="AM167">
        <v>256979843456392</v>
      </c>
      <c r="AN167">
        <v>3136722445741690</v>
      </c>
      <c r="AO167">
        <v>1.12896443976996E+16</v>
      </c>
      <c r="AP167">
        <v>1440207952850780</v>
      </c>
      <c r="AQ167">
        <v>1.27298523505504E+16</v>
      </c>
      <c r="AR167"/>
      <c r="AS167">
        <f t="shared" si="23"/>
        <v>1.372795178349709E+16</v>
      </c>
      <c r="AT167">
        <f t="shared" si="28"/>
        <v>1453269760091008.5</v>
      </c>
      <c r="AU167">
        <f t="shared" si="28"/>
        <v>1.5181221543588104E+16</v>
      </c>
      <c r="AV167">
        <f t="shared" si="27"/>
        <v>1.0015083489867018</v>
      </c>
      <c r="AW167">
        <f t="shared" si="27"/>
        <v>1.0008759353953947</v>
      </c>
      <c r="AX167">
        <f t="shared" si="27"/>
        <v>1.0014477746353945</v>
      </c>
      <c r="AY167"/>
      <c r="AZ167" s="24">
        <v>6847859000</v>
      </c>
      <c r="BA167">
        <f t="shared" si="29"/>
        <v>2358.8038593287392</v>
      </c>
      <c r="BB167">
        <f t="shared" si="29"/>
        <v>496.00125374025561</v>
      </c>
      <c r="BC167" s="23">
        <f t="shared" si="29"/>
        <v>2854.8051130689951</v>
      </c>
      <c r="BD167">
        <v>2869</v>
      </c>
      <c r="BE167"/>
    </row>
    <row r="168" spans="1:58" x14ac:dyDescent="0.3">
      <c r="A168">
        <v>2012</v>
      </c>
      <c r="B168">
        <v>66594938149998.703</v>
      </c>
      <c r="C168">
        <v>1040501912215.91</v>
      </c>
      <c r="D168">
        <v>67635440062214.602</v>
      </c>
      <c r="E168">
        <v>515547124157254</v>
      </c>
      <c r="F168">
        <v>18314344496246.898</v>
      </c>
      <c r="G168">
        <v>533861468653501</v>
      </c>
      <c r="H168">
        <v>2350593388547610</v>
      </c>
      <c r="I168">
        <v>2534394179166.0698</v>
      </c>
      <c r="J168">
        <v>2353127782726780</v>
      </c>
      <c r="K168">
        <v>5964884720806570</v>
      </c>
      <c r="L168">
        <v>1266898871047490</v>
      </c>
      <c r="M168">
        <v>7231783591854070</v>
      </c>
      <c r="N168">
        <v>1836188665045620</v>
      </c>
      <c r="O168">
        <v>101347087730739</v>
      </c>
      <c r="P168">
        <v>1937535752776360</v>
      </c>
      <c r="Q168">
        <v>0</v>
      </c>
      <c r="R168">
        <v>0</v>
      </c>
      <c r="S168">
        <v>0</v>
      </c>
      <c r="T168">
        <v>0</v>
      </c>
      <c r="U168">
        <v>0</v>
      </c>
      <c r="V168">
        <v>0</v>
      </c>
      <c r="W168">
        <v>1.3613409917325E+16</v>
      </c>
      <c r="X168">
        <v>1476696658849380</v>
      </c>
      <c r="Y168">
        <v>1.50901065761744E+16</v>
      </c>
      <c r="Z168">
        <v>1.36747317116753E+16</v>
      </c>
      <c r="AA168">
        <v>1480981544784200</v>
      </c>
      <c r="AB168">
        <v>1.51557132564595E+16</v>
      </c>
      <c r="AC168">
        <v>2687096996149720</v>
      </c>
      <c r="AD168">
        <v>82545737991568.703</v>
      </c>
      <c r="AE168">
        <v>2769642734141280</v>
      </c>
      <c r="AF168">
        <v>291541691924797</v>
      </c>
      <c r="AG168">
        <v>7308518690866.6699</v>
      </c>
      <c r="AH168">
        <v>298850210615664</v>
      </c>
      <c r="AI168">
        <v>2963772321931190</v>
      </c>
      <c r="AJ168">
        <v>262331223030947</v>
      </c>
      <c r="AK168">
        <v>3226103544962130</v>
      </c>
      <c r="AL168">
        <v>3091225989481010</v>
      </c>
      <c r="AM168">
        <v>267665965291772</v>
      </c>
      <c r="AN168">
        <v>3358891954772790</v>
      </c>
      <c r="AO168">
        <v>1.11699545957205E+16</v>
      </c>
      <c r="AP168">
        <v>1470177157912350</v>
      </c>
      <c r="AQ168">
        <v>1.26401317536329E+16</v>
      </c>
      <c r="AR168"/>
      <c r="AS168">
        <f t="shared" si="23"/>
        <v>1.3706711316031392E+16</v>
      </c>
      <c r="AT168">
        <f t="shared" si="28"/>
        <v>1483243194484686.5</v>
      </c>
      <c r="AU168">
        <f t="shared" si="28"/>
        <v>1.5189954510516102E+16</v>
      </c>
      <c r="AV168">
        <f t="shared" si="27"/>
        <v>1.0023385909888667</v>
      </c>
      <c r="AW168">
        <f t="shared" si="27"/>
        <v>1.001527128888575</v>
      </c>
      <c r="AX168">
        <f t="shared" si="27"/>
        <v>1.0022592967732487</v>
      </c>
      <c r="AY168"/>
      <c r="AZ168" s="24">
        <v>6919022000</v>
      </c>
      <c r="BA168">
        <f t="shared" si="29"/>
        <v>2361.9161667672106</v>
      </c>
      <c r="BB168">
        <f t="shared" si="29"/>
        <v>501.65410820908124</v>
      </c>
      <c r="BC168" s="23">
        <f t="shared" si="29"/>
        <v>2863.5702749762959</v>
      </c>
      <c r="BD168">
        <v>2874</v>
      </c>
      <c r="BE168"/>
    </row>
    <row r="169" spans="1:58" x14ac:dyDescent="0.3">
      <c r="A169">
        <v>2013</v>
      </c>
      <c r="B169">
        <v>-349265186686709</v>
      </c>
      <c r="C169">
        <v>2574806554256.3799</v>
      </c>
      <c r="D169">
        <v>-346690380132452</v>
      </c>
      <c r="E169">
        <v>539411244100319</v>
      </c>
      <c r="F169">
        <v>18714754276822.102</v>
      </c>
      <c r="G169">
        <v>558125998377141</v>
      </c>
      <c r="H169">
        <v>2363922638546130</v>
      </c>
      <c r="I169">
        <v>2667599985034.9399</v>
      </c>
      <c r="J169">
        <v>2366590238531160</v>
      </c>
      <c r="K169">
        <v>6055500815779240</v>
      </c>
      <c r="L169">
        <v>1283425012486810</v>
      </c>
      <c r="M169">
        <v>7338925828266050</v>
      </c>
      <c r="N169">
        <v>1908932680758040</v>
      </c>
      <c r="O169">
        <v>98736041834077</v>
      </c>
      <c r="P169">
        <v>2007668722592120</v>
      </c>
      <c r="Q169">
        <v>0</v>
      </c>
      <c r="R169">
        <v>0</v>
      </c>
      <c r="S169">
        <v>0</v>
      </c>
      <c r="T169">
        <v>0</v>
      </c>
      <c r="U169">
        <v>0</v>
      </c>
      <c r="V169">
        <v>0</v>
      </c>
      <c r="W169">
        <v>1.40729258372445E+16</v>
      </c>
      <c r="X169">
        <v>1491558261410530</v>
      </c>
      <c r="Y169">
        <v>1.55644840986551E+16</v>
      </c>
      <c r="Z169">
        <v>1.45784115663378E+16</v>
      </c>
      <c r="AA169">
        <v>1501425126278430</v>
      </c>
      <c r="AB169">
        <v>1.60798366926162E+16</v>
      </c>
      <c r="AC169">
        <v>2940966156148150</v>
      </c>
      <c r="AD169">
        <v>82416197804557</v>
      </c>
      <c r="AE169">
        <v>3023382353952710</v>
      </c>
      <c r="AF169">
        <v>293170605881465</v>
      </c>
      <c r="AG169">
        <v>7536980741291.4502</v>
      </c>
      <c r="AH169">
        <v>300707586622756</v>
      </c>
      <c r="AI169">
        <v>3048586040277070</v>
      </c>
      <c r="AJ169">
        <v>259189951684014</v>
      </c>
      <c r="AK169">
        <v>3307775991961090</v>
      </c>
      <c r="AL169">
        <v>3204099607488910</v>
      </c>
      <c r="AM169">
        <v>271586481566288</v>
      </c>
      <c r="AN169">
        <v>3475686089055200</v>
      </c>
      <c r="AO169">
        <v>1.20432504677483E+16</v>
      </c>
      <c r="AP169">
        <v>1490982783328790</v>
      </c>
      <c r="AQ169">
        <v>1.35342332510771E+16</v>
      </c>
      <c r="AR169"/>
      <c r="AS169">
        <f t="shared" si="23"/>
        <v>1.460668289511189E+16</v>
      </c>
      <c r="AT169">
        <f t="shared" si="28"/>
        <v>1503318310456610</v>
      </c>
      <c r="AU169">
        <f t="shared" si="28"/>
        <v>1.6110001205568498E+16</v>
      </c>
      <c r="AV169">
        <f t="shared" si="27"/>
        <v>1.0019392598875017</v>
      </c>
      <c r="AW169">
        <f t="shared" si="27"/>
        <v>1.0012609248007409</v>
      </c>
      <c r="AX169">
        <f t="shared" si="27"/>
        <v>1.0018759215985165</v>
      </c>
      <c r="AY169"/>
      <c r="AZ169" s="24">
        <v>6997326000</v>
      </c>
      <c r="BA169">
        <f t="shared" si="29"/>
        <v>2370.9647362314872</v>
      </c>
      <c r="BB169">
        <f t="shared" si="29"/>
        <v>502.51094645622732</v>
      </c>
      <c r="BC169" s="23">
        <f t="shared" si="29"/>
        <v>2873.4756826877142</v>
      </c>
      <c r="BD169">
        <v>2884</v>
      </c>
      <c r="BE169"/>
    </row>
    <row r="170" spans="1:58" x14ac:dyDescent="0.3">
      <c r="A170">
        <v>2014</v>
      </c>
      <c r="B170">
        <v>372549264114290</v>
      </c>
      <c r="C170">
        <v>8613356180707.9199</v>
      </c>
      <c r="D170">
        <v>381162620294997</v>
      </c>
      <c r="E170">
        <v>683915267719958</v>
      </c>
      <c r="F170">
        <v>43547063222703.398</v>
      </c>
      <c r="G170">
        <v>727462330942662</v>
      </c>
      <c r="H170">
        <v>3889487140965080</v>
      </c>
      <c r="I170">
        <v>6055945810793.7305</v>
      </c>
      <c r="J170">
        <v>3895543086775870</v>
      </c>
      <c r="K170">
        <v>6856364508954790</v>
      </c>
      <c r="L170">
        <v>1221439714370870</v>
      </c>
      <c r="M170">
        <v>8077804223325660</v>
      </c>
      <c r="N170">
        <v>1899482195653810</v>
      </c>
      <c r="O170">
        <v>108282970212782</v>
      </c>
      <c r="P170">
        <v>2007765165866600</v>
      </c>
      <c r="Q170">
        <v>-52146988582981.102</v>
      </c>
      <c r="R170">
        <v>-8950514313693.4102</v>
      </c>
      <c r="S170">
        <v>-61097502896674.5</v>
      </c>
      <c r="T170">
        <v>2657891260509.4502</v>
      </c>
      <c r="U170">
        <v>22808311278.722099</v>
      </c>
      <c r="V170">
        <v>2680699571788.1802</v>
      </c>
      <c r="W170">
        <v>1.67821759544302E+16</v>
      </c>
      <c r="X170">
        <v>1409641335066910</v>
      </c>
      <c r="Y170">
        <v>1.81918172894971E+16</v>
      </c>
      <c r="Z170">
        <v>1.72983289682586E+16</v>
      </c>
      <c r="AA170">
        <v>1451607700823450</v>
      </c>
      <c r="AB170">
        <v>1.87499366690821E+16</v>
      </c>
      <c r="AC170">
        <v>3215700267007850</v>
      </c>
      <c r="AD170">
        <v>80295530072934.5</v>
      </c>
      <c r="AE170">
        <v>3295995797080780</v>
      </c>
      <c r="AF170">
        <v>331138984787936</v>
      </c>
      <c r="AG170">
        <v>7342431691117.0996</v>
      </c>
      <c r="AH170">
        <v>338481416479053</v>
      </c>
      <c r="AI170">
        <v>3273981278199230</v>
      </c>
      <c r="AJ170">
        <v>223626376556244</v>
      </c>
      <c r="AK170">
        <v>3497607654755470</v>
      </c>
      <c r="AL170">
        <v>3417335160642550</v>
      </c>
      <c r="AM170">
        <v>261010471967521</v>
      </c>
      <c r="AN170">
        <v>3678345632610080</v>
      </c>
      <c r="AO170">
        <v>1.45977292089949E+16</v>
      </c>
      <c r="AP170">
        <v>1442105385803560</v>
      </c>
      <c r="AQ170">
        <v>1.60398345947985E+16</v>
      </c>
      <c r="AR170"/>
      <c r="AS170">
        <f t="shared" si="23"/>
        <v>1.6701697863261944E+16</v>
      </c>
      <c r="AT170">
        <f t="shared" si="28"/>
        <v>1486806688609355</v>
      </c>
      <c r="AU170">
        <f t="shared" si="28"/>
        <v>1.8084210574705352E+16</v>
      </c>
      <c r="AV170">
        <f t="shared" si="27"/>
        <v>0.965509321386393</v>
      </c>
      <c r="AW170">
        <f t="shared" si="27"/>
        <v>1.0242482784886975</v>
      </c>
      <c r="AX170">
        <f t="shared" si="27"/>
        <v>0.9644944883747526</v>
      </c>
      <c r="AY170"/>
      <c r="AZ170" s="24">
        <v>7295290759</v>
      </c>
      <c r="BA170">
        <f t="shared" si="29"/>
        <v>2574.8885026045436</v>
      </c>
      <c r="BB170">
        <f t="shared" si="29"/>
        <v>458.70826631963553</v>
      </c>
      <c r="BC170" s="23">
        <f t="shared" si="29"/>
        <v>3033.5967689241793</v>
      </c>
      <c r="BD170">
        <v>2887.0734434192595</v>
      </c>
      <c r="BE170"/>
    </row>
    <row r="171" spans="1:58" x14ac:dyDescent="0.3">
      <c r="A171">
        <v>2015</v>
      </c>
      <c r="B171">
        <v>321934484280342</v>
      </c>
      <c r="C171">
        <v>9706166510945.8008</v>
      </c>
      <c r="D171">
        <v>331640650791287</v>
      </c>
      <c r="E171">
        <v>687662390785024</v>
      </c>
      <c r="F171">
        <v>44912133762588.398</v>
      </c>
      <c r="G171">
        <v>732574524547613</v>
      </c>
      <c r="H171">
        <v>4012151931559250</v>
      </c>
      <c r="I171">
        <v>5848397184144.8604</v>
      </c>
      <c r="J171">
        <v>4018000328743400</v>
      </c>
      <c r="K171">
        <v>6896175809944250</v>
      </c>
      <c r="L171">
        <v>1245568146121890</v>
      </c>
      <c r="M171">
        <v>8141743956066140</v>
      </c>
      <c r="N171">
        <v>2013441037563880</v>
      </c>
      <c r="O171">
        <v>109884985921063</v>
      </c>
      <c r="P171">
        <v>2123326023484950</v>
      </c>
      <c r="Q171">
        <v>-75402308512387</v>
      </c>
      <c r="R171">
        <v>-9433341477945.9395</v>
      </c>
      <c r="S171">
        <v>-84835649990332.906</v>
      </c>
      <c r="T171">
        <v>2717004168838.0698</v>
      </c>
      <c r="U171">
        <v>53909678486.269302</v>
      </c>
      <c r="V171">
        <v>2770913847324.3398</v>
      </c>
      <c r="W171">
        <v>1.70954249038599E+16</v>
      </c>
      <c r="X171">
        <v>1436305567162320</v>
      </c>
      <c r="Y171">
        <v>1.85317304710222E+16</v>
      </c>
      <c r="Z171">
        <v>1.75547725698433E+16</v>
      </c>
      <c r="AA171">
        <v>1484038302206100</v>
      </c>
      <c r="AB171">
        <v>1.90388108720494E+16</v>
      </c>
      <c r="AC171">
        <v>3222693110085010</v>
      </c>
      <c r="AD171">
        <v>81788097085703.094</v>
      </c>
      <c r="AE171">
        <v>3304481207170710</v>
      </c>
      <c r="AF171">
        <v>336683303344072</v>
      </c>
      <c r="AG171">
        <v>7613393281463.2305</v>
      </c>
      <c r="AH171">
        <v>344296696625535</v>
      </c>
      <c r="AI171">
        <v>3433088329757200</v>
      </c>
      <c r="AJ171">
        <v>224520563664858</v>
      </c>
      <c r="AK171">
        <v>3657608893422060</v>
      </c>
      <c r="AL171">
        <v>3569821277029220</v>
      </c>
      <c r="AM171">
        <v>261830049910279</v>
      </c>
      <c r="AN171">
        <v>3831651326939490</v>
      </c>
      <c r="AO171">
        <v>1.48016862983425E+16</v>
      </c>
      <c r="AP171">
        <v>1474851157089620</v>
      </c>
      <c r="AQ171">
        <v>1.62765374554321E+16</v>
      </c>
      <c r="AR171"/>
      <c r="AS171">
        <f t="shared" si="23"/>
        <v>1.7061725358954388E+16</v>
      </c>
      <c r="AT171">
        <f t="shared" si="28"/>
        <v>1513839041291868</v>
      </c>
      <c r="AU171">
        <f t="shared" si="28"/>
        <v>1.8424759783221484E+16</v>
      </c>
      <c r="AV171">
        <f t="shared" si="27"/>
        <v>0.97191377963301562</v>
      </c>
      <c r="AW171">
        <f t="shared" si="27"/>
        <v>1.0200808422811376</v>
      </c>
      <c r="AX171">
        <f t="shared" si="27"/>
        <v>0.96774740329348008</v>
      </c>
      <c r="AY171"/>
      <c r="AZ171" s="24">
        <v>7379796967</v>
      </c>
      <c r="BA171">
        <f t="shared" si="29"/>
        <v>2560.1832191993481</v>
      </c>
      <c r="BB171">
        <f t="shared" si="29"/>
        <v>462.41319159412262</v>
      </c>
      <c r="BC171" s="23">
        <f t="shared" si="29"/>
        <v>3022.5964107934706</v>
      </c>
      <c r="BD171">
        <v>2897.9723311818193</v>
      </c>
      <c r="BE171"/>
    </row>
    <row r="172" spans="1:58" x14ac:dyDescent="0.3">
      <c r="A172">
        <v>2016</v>
      </c>
      <c r="B172">
        <v>356761800883477</v>
      </c>
      <c r="C172">
        <v>7499476473778.1104</v>
      </c>
      <c r="D172">
        <v>364261277357255</v>
      </c>
      <c r="E172">
        <v>721098248058696</v>
      </c>
      <c r="F172">
        <v>45522592407177.398</v>
      </c>
      <c r="G172">
        <v>766620840465874</v>
      </c>
      <c r="H172">
        <v>4004117653829190</v>
      </c>
      <c r="I172">
        <v>5953773677594.6504</v>
      </c>
      <c r="J172">
        <v>4010071427506780</v>
      </c>
      <c r="K172">
        <v>7039299061271430</v>
      </c>
      <c r="L172">
        <v>1260085694260310</v>
      </c>
      <c r="M172">
        <v>8299384755531740</v>
      </c>
      <c r="N172">
        <v>2060554146248870</v>
      </c>
      <c r="O172">
        <v>113410941000593</v>
      </c>
      <c r="P172">
        <v>2173965087249470</v>
      </c>
      <c r="Q172">
        <v>-75546577481851.906</v>
      </c>
      <c r="R172">
        <v>-9947715087342.4004</v>
      </c>
      <c r="S172">
        <v>-85494292569194.297</v>
      </c>
      <c r="T172">
        <v>2978786693603.0601</v>
      </c>
      <c r="U172">
        <v>35165622392.028503</v>
      </c>
      <c r="V172">
        <v>3013952315995.0801</v>
      </c>
      <c r="W172">
        <v>1.74056920907414E+16</v>
      </c>
      <c r="X172">
        <v>1454398414425030</v>
      </c>
      <c r="Y172">
        <v>1.88600905051664E+16</v>
      </c>
      <c r="Z172">
        <v>1.79095013319294E+16</v>
      </c>
      <c r="AA172">
        <v>1498765001686690</v>
      </c>
      <c r="AB172">
        <v>1.94082663336161E+16</v>
      </c>
      <c r="AC172">
        <v>3355838317173130</v>
      </c>
      <c r="AD172">
        <v>85261663790981.906</v>
      </c>
      <c r="AE172">
        <v>3441099980964110</v>
      </c>
      <c r="AF172">
        <v>330863367267238</v>
      </c>
      <c r="AG172">
        <v>8006388992862.9805</v>
      </c>
      <c r="AH172">
        <v>338869756260101</v>
      </c>
      <c r="AI172">
        <v>3503026105201620</v>
      </c>
      <c r="AJ172">
        <v>230144751118589</v>
      </c>
      <c r="AK172">
        <v>3733170856320210</v>
      </c>
      <c r="AL172">
        <v>3649482720130060</v>
      </c>
      <c r="AM172">
        <v>268242045582430</v>
      </c>
      <c r="AN172">
        <v>3917724765712490</v>
      </c>
      <c r="AO172">
        <v>1.51479016405454E+16</v>
      </c>
      <c r="AP172">
        <v>1488735461317080</v>
      </c>
      <c r="AQ172">
        <v>1.66366371018625E+16</v>
      </c>
      <c r="AR172"/>
      <c r="AS172">
        <f t="shared" si="23"/>
        <v>1.7379990972068976E+16</v>
      </c>
      <c r="AT172">
        <f t="shared" si="28"/>
        <v>1538926322654632.8</v>
      </c>
      <c r="AU172">
        <f t="shared" si="28"/>
        <v>1.8767824139759904E+16</v>
      </c>
      <c r="AV172">
        <f t="shared" si="27"/>
        <v>0.97043410924477258</v>
      </c>
      <c r="AW172">
        <f t="shared" si="27"/>
        <v>1.0267962762159148</v>
      </c>
      <c r="AX172">
        <f t="shared" si="27"/>
        <v>0.96700157639804651</v>
      </c>
      <c r="AY172"/>
      <c r="AZ172" s="24">
        <v>7464021934</v>
      </c>
      <c r="BA172">
        <f t="shared" si="29"/>
        <v>2583.8282662257834</v>
      </c>
      <c r="BB172">
        <f t="shared" si="29"/>
        <v>462.5240391631354</v>
      </c>
      <c r="BC172" s="23">
        <f t="shared" si="29"/>
        <v>3046.3523053889189</v>
      </c>
      <c r="BD172">
        <v>2905.2883655463197</v>
      </c>
      <c r="BE172"/>
    </row>
    <row r="173" spans="1:58" x14ac:dyDescent="0.3">
      <c r="A173">
        <v>2017</v>
      </c>
      <c r="B173">
        <v>329960059926083</v>
      </c>
      <c r="C173">
        <v>8606885342423.29</v>
      </c>
      <c r="D173">
        <v>338566945268507</v>
      </c>
      <c r="E173">
        <v>728221731458654</v>
      </c>
      <c r="F173">
        <v>45522265719745.797</v>
      </c>
      <c r="G173">
        <v>773743997178400</v>
      </c>
      <c r="H173">
        <v>4351143368885240</v>
      </c>
      <c r="I173">
        <v>3907163632424.0498</v>
      </c>
      <c r="J173">
        <v>4355050532517670</v>
      </c>
      <c r="K173">
        <v>7109229416730200</v>
      </c>
      <c r="L173">
        <v>1281953827961770</v>
      </c>
      <c r="M173">
        <v>8391183244691980</v>
      </c>
      <c r="N173">
        <v>2182984643967140</v>
      </c>
      <c r="O173">
        <v>64386837073990.398</v>
      </c>
      <c r="P173">
        <v>2247371481041130</v>
      </c>
      <c r="Q173">
        <v>-59677119567470</v>
      </c>
      <c r="R173">
        <v>-11022807586864.9</v>
      </c>
      <c r="S173">
        <v>-70699927154335</v>
      </c>
      <c r="T173">
        <v>2677100390772.6602</v>
      </c>
      <c r="U173">
        <v>3652705233.2671499</v>
      </c>
      <c r="V173">
        <v>2680753096005.9302</v>
      </c>
      <c r="W173">
        <v>1.81496251259672E+16</v>
      </c>
      <c r="X173">
        <v>1484015891044990</v>
      </c>
      <c r="Y173">
        <v>1.96336410170121E+16</v>
      </c>
      <c r="Z173">
        <v>1.86049324411778E+16</v>
      </c>
      <c r="AA173">
        <v>1527757378130810</v>
      </c>
      <c r="AB173">
        <v>2.01326898193086E+16</v>
      </c>
      <c r="AC173">
        <v>3471868986166330</v>
      </c>
      <c r="AD173">
        <v>91102997185624.297</v>
      </c>
      <c r="AE173">
        <v>3562971983351960</v>
      </c>
      <c r="AF173">
        <v>362507019051519</v>
      </c>
      <c r="AG173">
        <v>8286446897445.6201</v>
      </c>
      <c r="AH173">
        <v>370793465948964</v>
      </c>
      <c r="AI173">
        <v>3739959811349840</v>
      </c>
      <c r="AJ173">
        <v>239563343653584</v>
      </c>
      <c r="AK173">
        <v>3979523155003430</v>
      </c>
      <c r="AL173">
        <v>3864428348184730</v>
      </c>
      <c r="AM173">
        <v>279014302979050</v>
      </c>
      <c r="AN173">
        <v>4143442651163780</v>
      </c>
      <c r="AO173">
        <v>1.56789032730942E+16</v>
      </c>
      <c r="AP173">
        <v>1517020453608720</v>
      </c>
      <c r="AQ173">
        <v>1.71959237267029E+16</v>
      </c>
      <c r="AR173">
        <f>Z173-AS173</f>
        <v>542114578051664</v>
      </c>
      <c r="AS173">
        <f t="shared" si="23"/>
        <v>1.8062817863126136E+16</v>
      </c>
      <c r="AT173">
        <f t="shared" si="28"/>
        <v>1514984457572411</v>
      </c>
      <c r="AU173">
        <f t="shared" si="28"/>
        <v>1.9458448081563616E+16</v>
      </c>
      <c r="AV173">
        <f t="shared" si="27"/>
        <v>0.97086178196208783</v>
      </c>
      <c r="AW173">
        <f t="shared" si="27"/>
        <v>0.99163943127276766</v>
      </c>
      <c r="AX173">
        <f t="shared" si="27"/>
        <v>0.96651010154150685</v>
      </c>
      <c r="AY173"/>
      <c r="AZ173" s="24">
        <v>7547858900</v>
      </c>
      <c r="BA173">
        <f t="shared" si="29"/>
        <v>2580.5120532597625</v>
      </c>
      <c r="BB173">
        <f t="shared" si="29"/>
        <v>465.32431447392463</v>
      </c>
      <c r="BC173" s="23">
        <f t="shared" si="29"/>
        <v>3045.8363677336906</v>
      </c>
      <c r="BD173">
        <v>2917.1419435128714</v>
      </c>
      <c r="BE173"/>
      <c r="BF173"/>
    </row>
    <row r="174" spans="1:58" x14ac:dyDescent="0.3">
      <c r="A174"/>
      <c r="B174"/>
      <c r="C174"/>
      <c r="D174"/>
      <c r="E174"/>
      <c r="F174"/>
      <c r="G174"/>
      <c r="H174"/>
      <c r="I174"/>
      <c r="J174"/>
      <c r="K174"/>
      <c r="L174"/>
      <c r="M174"/>
      <c r="N174"/>
      <c r="O174"/>
      <c r="P174"/>
      <c r="Q174"/>
      <c r="R174"/>
      <c r="S174"/>
      <c r="T174"/>
      <c r="U174"/>
      <c r="V174"/>
      <c r="W174"/>
      <c r="X174"/>
      <c r="Y174"/>
      <c r="Z174">
        <f>AO170</f>
        <v>1.45977292089949E+16</v>
      </c>
      <c r="AA174">
        <f>AP170</f>
        <v>1442105385803560</v>
      </c>
      <c r="AB174">
        <f>AQ170</f>
        <v>1.60398345947985E+16</v>
      </c>
      <c r="AC174" t="s">
        <v>522</v>
      </c>
      <c r="AD174"/>
      <c r="AE174"/>
      <c r="AF174"/>
      <c r="AG174"/>
      <c r="AH174"/>
      <c r="AI174"/>
      <c r="AJ174"/>
      <c r="AK174"/>
      <c r="AL174"/>
      <c r="AM174"/>
      <c r="AN174"/>
      <c r="AO174"/>
      <c r="AP174"/>
      <c r="AQ174"/>
      <c r="AR174">
        <f>AR173/2</f>
        <v>271057289025832</v>
      </c>
      <c r="AS174"/>
      <c r="AT174"/>
      <c r="AU174" t="s">
        <v>536</v>
      </c>
      <c r="AV174">
        <f>AVERAGE(AV162:AV173)</f>
        <v>0.99103375784115422</v>
      </c>
      <c r="AW174">
        <f>AVERAGE(AW162:AW173)</f>
        <v>1.0057654959678073</v>
      </c>
      <c r="AX174">
        <f>AVERAGE(AX162:AX173)</f>
        <v>0.98989421624581464</v>
      </c>
      <c r="AY174"/>
      <c r="AZ174"/>
      <c r="BA174"/>
      <c r="BB174"/>
      <c r="BC174" s="23"/>
      <c r="BD174"/>
      <c r="BE174"/>
    </row>
    <row r="175" spans="1:58" x14ac:dyDescent="0.3">
      <c r="A175"/>
      <c r="B175" s="348" t="s">
        <v>537</v>
      </c>
      <c r="C175" s="348"/>
      <c r="D175" s="348"/>
      <c r="E175" s="348"/>
      <c r="F175" s="348"/>
      <c r="G175" s="348"/>
      <c r="H175" s="348"/>
      <c r="I175" s="348"/>
      <c r="J175" s="348"/>
      <c r="K175" s="348"/>
      <c r="L175"/>
      <c r="M175"/>
      <c r="N175"/>
      <c r="O175"/>
      <c r="P175"/>
      <c r="Q175"/>
      <c r="R175"/>
      <c r="S175"/>
      <c r="T175"/>
      <c r="U175"/>
      <c r="V175"/>
      <c r="W175"/>
      <c r="X175"/>
      <c r="Y175">
        <v>2013</v>
      </c>
      <c r="Z175">
        <f>Z170-H170</f>
        <v>1.340884182729352E+16</v>
      </c>
      <c r="AA175">
        <f>AA170-I170</f>
        <v>1445551755012656.3</v>
      </c>
      <c r="AB175">
        <f>AB170-J170</f>
        <v>1.485439358230623E+16</v>
      </c>
      <c r="AC175" t="s">
        <v>538</v>
      </c>
      <c r="AD175"/>
      <c r="AE175"/>
      <c r="AF175"/>
      <c r="AG175"/>
      <c r="AH175"/>
      <c r="AI175"/>
      <c r="AJ175"/>
      <c r="AK175"/>
      <c r="AL175"/>
      <c r="AM175"/>
      <c r="AN175"/>
      <c r="AO175"/>
      <c r="AP175"/>
      <c r="AQ175"/>
      <c r="AR175"/>
      <c r="AS175"/>
      <c r="AT175"/>
      <c r="AU175"/>
      <c r="AV175"/>
      <c r="AW175"/>
      <c r="AX175"/>
      <c r="AY175"/>
      <c r="AZ175"/>
      <c r="BA175"/>
      <c r="BB175"/>
      <c r="BC175" s="23"/>
      <c r="BD175"/>
      <c r="BE175"/>
    </row>
    <row r="176" spans="1:58" x14ac:dyDescent="0.3">
      <c r="A176"/>
      <c r="B176" s="348" t="s">
        <v>539</v>
      </c>
      <c r="C176" s="348"/>
      <c r="D176" s="348"/>
      <c r="E176" s="348"/>
      <c r="F176" s="348"/>
      <c r="G176" s="348"/>
      <c r="H176" s="348"/>
      <c r="I176" s="348"/>
      <c r="J176" s="348"/>
      <c r="K176" s="348"/>
      <c r="L176"/>
      <c r="M176"/>
      <c r="N176"/>
      <c r="O176"/>
      <c r="P176"/>
      <c r="Q176"/>
      <c r="R176"/>
      <c r="S176"/>
      <c r="T176"/>
      <c r="U176"/>
      <c r="V176"/>
      <c r="W176"/>
      <c r="X176"/>
      <c r="Y176"/>
      <c r="Z176" t="s">
        <v>540</v>
      </c>
      <c r="AA176"/>
      <c r="AB176"/>
      <c r="AC176"/>
      <c r="AD176"/>
      <c r="AE176"/>
      <c r="AF176"/>
      <c r="AG176"/>
      <c r="AH176"/>
      <c r="AI176"/>
      <c r="AJ176"/>
      <c r="AK176"/>
      <c r="AL176"/>
      <c r="AM176"/>
      <c r="AN176"/>
      <c r="AO176"/>
      <c r="AP176"/>
      <c r="AQ176"/>
      <c r="AR176"/>
      <c r="AS176" t="s">
        <v>541</v>
      </c>
      <c r="AT176"/>
      <c r="AU176"/>
      <c r="AV176"/>
      <c r="AW176"/>
      <c r="AX176"/>
      <c r="AY176"/>
      <c r="AZ176"/>
      <c r="BA176"/>
      <c r="BB176"/>
      <c r="BC176" s="23" t="s">
        <v>542</v>
      </c>
      <c r="BD176"/>
      <c r="BE176"/>
    </row>
    <row r="177" spans="1:57" x14ac:dyDescent="0.3">
      <c r="A177"/>
      <c r="B177" s="348" t="s">
        <v>543</v>
      </c>
      <c r="C177" s="348"/>
      <c r="D177" s="348"/>
      <c r="E177" s="348"/>
      <c r="F177" s="348"/>
      <c r="G177" s="348"/>
      <c r="H177" s="348"/>
      <c r="I177" s="348"/>
      <c r="J177" s="348"/>
      <c r="K177" s="348"/>
      <c r="L177"/>
      <c r="M177"/>
      <c r="N177"/>
      <c r="O177"/>
      <c r="P177"/>
      <c r="Q177"/>
      <c r="R177"/>
      <c r="S177"/>
      <c r="T177"/>
      <c r="U177"/>
      <c r="V177"/>
      <c r="W177"/>
      <c r="X177"/>
      <c r="Y177"/>
      <c r="Z177" t="s">
        <v>544</v>
      </c>
      <c r="AA177"/>
      <c r="AB177"/>
      <c r="AC177"/>
      <c r="AD177"/>
      <c r="AE177"/>
      <c r="AF177"/>
      <c r="AG177"/>
      <c r="AH177"/>
      <c r="AI177"/>
      <c r="AJ177"/>
      <c r="AK177"/>
      <c r="AL177"/>
      <c r="AM177"/>
      <c r="AN177"/>
      <c r="AO177"/>
      <c r="AP177"/>
      <c r="AQ177"/>
      <c r="AR177"/>
      <c r="AS177" t="s">
        <v>545</v>
      </c>
      <c r="AT177"/>
      <c r="AU177"/>
      <c r="AV177"/>
      <c r="AW177"/>
      <c r="AX177"/>
      <c r="AY177"/>
      <c r="AZ177"/>
      <c r="BA177"/>
      <c r="BB177"/>
      <c r="BC177" s="23" t="s">
        <v>546</v>
      </c>
      <c r="BD177"/>
      <c r="BE177"/>
    </row>
    <row r="178" spans="1:57" x14ac:dyDescent="0.3">
      <c r="A178"/>
      <c r="B178" s="348" t="s">
        <v>547</v>
      </c>
      <c r="C178" s="348"/>
      <c r="D178" s="348"/>
      <c r="E178" s="348"/>
      <c r="F178" s="348"/>
      <c r="G178" s="348"/>
      <c r="H178" s="348"/>
      <c r="I178" s="348"/>
      <c r="J178" s="348"/>
      <c r="K178" s="34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t="s">
        <v>548</v>
      </c>
      <c r="AT178"/>
      <c r="AU178"/>
      <c r="AV178"/>
      <c r="AW178"/>
      <c r="AX178"/>
      <c r="AY178"/>
      <c r="AZ178"/>
      <c r="BA178"/>
      <c r="BB178"/>
      <c r="BC178" s="23" t="s">
        <v>549</v>
      </c>
      <c r="BD178"/>
      <c r="BE178"/>
    </row>
    <row r="179" spans="1:57" x14ac:dyDescent="0.3">
      <c r="A179"/>
      <c r="B179" s="348" t="s">
        <v>550</v>
      </c>
      <c r="C179" s="348"/>
      <c r="D179" s="348"/>
      <c r="E179" s="348"/>
      <c r="F179" s="348"/>
      <c r="G179" s="348"/>
      <c r="H179" s="348"/>
      <c r="I179" s="348"/>
      <c r="J179" s="348"/>
      <c r="K179" s="348"/>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t="s">
        <v>551</v>
      </c>
      <c r="AT179"/>
      <c r="AU179"/>
      <c r="AV179"/>
      <c r="AW179"/>
      <c r="AX179"/>
      <c r="AY179"/>
      <c r="AZ179"/>
      <c r="BA179"/>
      <c r="BB179"/>
      <c r="BC179" s="23"/>
      <c r="BD179"/>
      <c r="BE179"/>
    </row>
    <row r="180" spans="1:57"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t="s">
        <v>552</v>
      </c>
      <c r="AT180"/>
      <c r="AU180"/>
      <c r="AV180"/>
      <c r="AW180"/>
      <c r="AX180"/>
      <c r="AY180"/>
      <c r="AZ180"/>
      <c r="BA180"/>
      <c r="BB180"/>
      <c r="BC180" s="23"/>
      <c r="BD180"/>
      <c r="BE180"/>
    </row>
    <row r="181" spans="1:57"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s="23"/>
      <c r="BD181"/>
      <c r="BE181"/>
    </row>
    <row r="182" spans="1:57" x14ac:dyDescent="0.3">
      <c r="A182"/>
      <c r="B182" t="s">
        <v>509</v>
      </c>
      <c r="C182"/>
      <c r="D182"/>
      <c r="E182" t="s">
        <v>510</v>
      </c>
      <c r="F182"/>
      <c r="G182"/>
      <c r="H182" t="s">
        <v>511</v>
      </c>
      <c r="I182"/>
      <c r="J182"/>
      <c r="K182" t="s">
        <v>512</v>
      </c>
      <c r="L182"/>
      <c r="M182"/>
      <c r="N182" t="s">
        <v>513</v>
      </c>
      <c r="O182"/>
      <c r="P182"/>
      <c r="Q182" t="s">
        <v>514</v>
      </c>
      <c r="R182"/>
      <c r="S182"/>
      <c r="T182" t="s">
        <v>515</v>
      </c>
      <c r="U182"/>
      <c r="V182"/>
      <c r="W182" t="s">
        <v>516</v>
      </c>
      <c r="X182"/>
      <c r="Y182"/>
      <c r="Z182" t="s">
        <v>517</v>
      </c>
      <c r="AA182"/>
      <c r="AB182"/>
      <c r="AC182" t="s">
        <v>518</v>
      </c>
      <c r="AD182"/>
      <c r="AE182"/>
      <c r="AF182" t="s">
        <v>519</v>
      </c>
      <c r="AG182"/>
      <c r="AH182"/>
      <c r="AI182" t="s">
        <v>520</v>
      </c>
      <c r="AJ182"/>
      <c r="AK182"/>
      <c r="AL182" t="s">
        <v>521</v>
      </c>
      <c r="AM182"/>
      <c r="AN182"/>
      <c r="AO182" t="s">
        <v>522</v>
      </c>
      <c r="AP182"/>
      <c r="AQ182"/>
      <c r="AR182"/>
      <c r="AS182" t="s">
        <v>523</v>
      </c>
      <c r="AT182"/>
      <c r="AU182"/>
      <c r="AV182" t="s">
        <v>524</v>
      </c>
      <c r="AW182"/>
      <c r="AX182"/>
      <c r="AY182"/>
      <c r="AZ182"/>
      <c r="BA182"/>
      <c r="BB182"/>
      <c r="BC182" s="23"/>
      <c r="BD182"/>
      <c r="BE182"/>
    </row>
    <row r="183" spans="1:57" x14ac:dyDescent="0.3">
      <c r="A183"/>
      <c r="B183" t="s">
        <v>527</v>
      </c>
      <c r="C183" t="s">
        <v>528</v>
      </c>
      <c r="D183" t="s">
        <v>529</v>
      </c>
      <c r="E183" t="s">
        <v>527</v>
      </c>
      <c r="F183" t="s">
        <v>528</v>
      </c>
      <c r="G183" t="s">
        <v>529</v>
      </c>
      <c r="H183" t="s">
        <v>527</v>
      </c>
      <c r="I183" t="s">
        <v>528</v>
      </c>
      <c r="J183" t="s">
        <v>529</v>
      </c>
      <c r="K183" t="s">
        <v>527</v>
      </c>
      <c r="L183" t="s">
        <v>528</v>
      </c>
      <c r="M183" t="s">
        <v>529</v>
      </c>
      <c r="N183" t="s">
        <v>527</v>
      </c>
      <c r="O183" t="s">
        <v>528</v>
      </c>
      <c r="P183" t="s">
        <v>529</v>
      </c>
      <c r="Q183" t="s">
        <v>527</v>
      </c>
      <c r="R183" t="s">
        <v>528</v>
      </c>
      <c r="S183" t="s">
        <v>529</v>
      </c>
      <c r="T183" t="s">
        <v>527</v>
      </c>
      <c r="U183" t="s">
        <v>528</v>
      </c>
      <c r="V183" t="s">
        <v>529</v>
      </c>
      <c r="W183" t="s">
        <v>527</v>
      </c>
      <c r="X183" t="s">
        <v>528</v>
      </c>
      <c r="Y183" t="s">
        <v>529</v>
      </c>
      <c r="Z183" t="s">
        <v>527</v>
      </c>
      <c r="AA183" t="s">
        <v>528</v>
      </c>
      <c r="AB183" t="s">
        <v>529</v>
      </c>
      <c r="AC183" t="s">
        <v>527</v>
      </c>
      <c r="AD183" t="s">
        <v>528</v>
      </c>
      <c r="AE183" t="s">
        <v>529</v>
      </c>
      <c r="AF183" t="s">
        <v>527</v>
      </c>
      <c r="AG183" t="s">
        <v>528</v>
      </c>
      <c r="AH183" t="s">
        <v>529</v>
      </c>
      <c r="AI183" t="s">
        <v>527</v>
      </c>
      <c r="AJ183" t="s">
        <v>528</v>
      </c>
      <c r="AK183" t="s">
        <v>529</v>
      </c>
      <c r="AL183" t="s">
        <v>527</v>
      </c>
      <c r="AM183" t="s">
        <v>528</v>
      </c>
      <c r="AN183" t="s">
        <v>529</v>
      </c>
      <c r="AO183" t="s">
        <v>527</v>
      </c>
      <c r="AP183" t="s">
        <v>528</v>
      </c>
      <c r="AQ183" t="s">
        <v>529</v>
      </c>
      <c r="AR183"/>
      <c r="AS183"/>
      <c r="AT183"/>
      <c r="AU183"/>
      <c r="AV183"/>
      <c r="AW183"/>
      <c r="AX183"/>
      <c r="AY183"/>
      <c r="AZ183"/>
      <c r="BA183"/>
      <c r="BB183"/>
      <c r="BC183" s="23"/>
      <c r="BD183"/>
      <c r="BE183"/>
    </row>
    <row r="184" spans="1:57" x14ac:dyDescent="0.3">
      <c r="A184" t="s">
        <v>447</v>
      </c>
      <c r="B184" t="s">
        <v>533</v>
      </c>
      <c r="C184" t="s">
        <v>533</v>
      </c>
      <c r="D184" t="s">
        <v>533</v>
      </c>
      <c r="E184" t="s">
        <v>533</v>
      </c>
      <c r="F184" t="s">
        <v>533</v>
      </c>
      <c r="G184" t="s">
        <v>533</v>
      </c>
      <c r="H184" t="s">
        <v>533</v>
      </c>
      <c r="I184" t="s">
        <v>533</v>
      </c>
      <c r="J184" t="s">
        <v>533</v>
      </c>
      <c r="K184" t="s">
        <v>533</v>
      </c>
      <c r="L184" t="s">
        <v>533</v>
      </c>
      <c r="M184" t="s">
        <v>533</v>
      </c>
      <c r="N184" t="s">
        <v>533</v>
      </c>
      <c r="O184" t="s">
        <v>533</v>
      </c>
      <c r="P184" t="s">
        <v>533</v>
      </c>
      <c r="Q184" t="s">
        <v>533</v>
      </c>
      <c r="R184" t="s">
        <v>533</v>
      </c>
      <c r="S184" t="s">
        <v>533</v>
      </c>
      <c r="T184" t="s">
        <v>533</v>
      </c>
      <c r="U184" t="s">
        <v>533</v>
      </c>
      <c r="V184" t="s">
        <v>533</v>
      </c>
      <c r="W184" t="s">
        <v>533</v>
      </c>
      <c r="X184" t="s">
        <v>533</v>
      </c>
      <c r="Y184" t="s">
        <v>533</v>
      </c>
      <c r="Z184" t="s">
        <v>533</v>
      </c>
      <c r="AA184" t="s">
        <v>533</v>
      </c>
      <c r="AB184" t="s">
        <v>533</v>
      </c>
      <c r="AC184" t="s">
        <v>533</v>
      </c>
      <c r="AD184" t="s">
        <v>533</v>
      </c>
      <c r="AE184" t="s">
        <v>533</v>
      </c>
      <c r="AF184" t="s">
        <v>533</v>
      </c>
      <c r="AG184" t="s">
        <v>533</v>
      </c>
      <c r="AH184" t="s">
        <v>533</v>
      </c>
      <c r="AI184" t="s">
        <v>533</v>
      </c>
      <c r="AJ184" t="s">
        <v>533</v>
      </c>
      <c r="AK184" t="s">
        <v>533</v>
      </c>
      <c r="AL184" t="s">
        <v>533</v>
      </c>
      <c r="AM184" t="s">
        <v>533</v>
      </c>
      <c r="AN184" t="s">
        <v>533</v>
      </c>
      <c r="AO184" t="s">
        <v>533</v>
      </c>
      <c r="AP184" t="s">
        <v>533</v>
      </c>
      <c r="AQ184" t="s">
        <v>533</v>
      </c>
      <c r="AR184"/>
      <c r="AS184" t="s">
        <v>533</v>
      </c>
      <c r="AT184" t="s">
        <v>533</v>
      </c>
      <c r="AU184" t="s">
        <v>533</v>
      </c>
      <c r="AV184"/>
      <c r="AW184"/>
      <c r="AX184"/>
      <c r="AY184"/>
      <c r="AZ184"/>
      <c r="BA184"/>
      <c r="BB184"/>
      <c r="BC184" s="23"/>
      <c r="BD184"/>
      <c r="BE184"/>
    </row>
    <row r="185" spans="1:57" x14ac:dyDescent="0.3">
      <c r="A185">
        <v>1961</v>
      </c>
      <c r="B185">
        <v>-32497369842464.199</v>
      </c>
      <c r="C185">
        <v>-5460894506505.71</v>
      </c>
      <c r="D185">
        <v>-37958264348969.898</v>
      </c>
      <c r="E185">
        <v>159917861830750</v>
      </c>
      <c r="F185">
        <v>5557450022801.0898</v>
      </c>
      <c r="G185">
        <v>165475311853551</v>
      </c>
      <c r="H185">
        <v>516607690959259</v>
      </c>
      <c r="I185">
        <v>1183920608893.03</v>
      </c>
      <c r="J185">
        <v>517791611568152</v>
      </c>
      <c r="K185">
        <v>2085552582994770</v>
      </c>
      <c r="L185">
        <v>391702724839281</v>
      </c>
      <c r="M185">
        <v>2477255307834050</v>
      </c>
      <c r="N185">
        <v>99670225822853.797</v>
      </c>
      <c r="O185">
        <v>39492538647991.102</v>
      </c>
      <c r="P185">
        <v>139162764470845</v>
      </c>
      <c r="Q185">
        <v>0</v>
      </c>
      <c r="R185">
        <v>0</v>
      </c>
      <c r="S185">
        <v>0</v>
      </c>
      <c r="T185">
        <v>0</v>
      </c>
      <c r="U185">
        <v>0</v>
      </c>
      <c r="V185">
        <v>0</v>
      </c>
      <c r="W185">
        <v>4027611885982540</v>
      </c>
      <c r="X185">
        <v>506611249034295</v>
      </c>
      <c r="Y185">
        <v>4534223135016830</v>
      </c>
      <c r="Z185">
        <v>4061602443639610</v>
      </c>
      <c r="AA185">
        <v>515077412736803</v>
      </c>
      <c r="AB185">
        <v>4576679856376410</v>
      </c>
      <c r="AC185">
        <v>922159069940692</v>
      </c>
      <c r="AD185">
        <v>67843127411845</v>
      </c>
      <c r="AE185">
        <v>990002197352537</v>
      </c>
      <c r="AF185">
        <v>244755511547072</v>
      </c>
      <c r="AG185">
        <v>1025962421100.33</v>
      </c>
      <c r="AH185">
        <v>245781473968172</v>
      </c>
      <c r="AI185">
        <v>406528842875676</v>
      </c>
      <c r="AJ185">
        <v>49780865508947.102</v>
      </c>
      <c r="AK185">
        <v>456309708384623</v>
      </c>
      <c r="AL185">
        <v>408065259775343</v>
      </c>
      <c r="AM185">
        <v>52794410919460.797</v>
      </c>
      <c r="AN185">
        <v>460859670694804</v>
      </c>
      <c r="AO185">
        <v>3608056936945380</v>
      </c>
      <c r="AP185">
        <v>504525222012584</v>
      </c>
      <c r="AQ185">
        <v>4112582158957960</v>
      </c>
      <c r="AR185"/>
      <c r="AS185">
        <f t="shared" ref="AS185:AU216" si="30">+E185+K185+N185+AC185+AF185+H185+AL185+T185-B185-AI185-Q185</f>
        <v>4062696729837528</v>
      </c>
      <c r="AT185">
        <f t="shared" si="30"/>
        <v>515280163868930.88</v>
      </c>
      <c r="AU185">
        <f t="shared" si="30"/>
        <v>4577976893706458</v>
      </c>
      <c r="AV185">
        <f t="shared" ref="AV185:AX237" si="31">AS185/Z185</f>
        <v>1.0002694222817479</v>
      </c>
      <c r="AW185">
        <f t="shared" si="31"/>
        <v>1.0003936323494571</v>
      </c>
      <c r="AX185">
        <f t="shared" si="31"/>
        <v>1.0002834013675308</v>
      </c>
      <c r="AY185"/>
      <c r="AZ185"/>
      <c r="BA185"/>
      <c r="BB185"/>
      <c r="BC185" s="23"/>
      <c r="BD185"/>
      <c r="BE185"/>
    </row>
    <row r="186" spans="1:57" x14ac:dyDescent="0.3">
      <c r="A186">
        <v>1962</v>
      </c>
      <c r="B186">
        <v>-38919505649962.703</v>
      </c>
      <c r="C186">
        <v>-3701506772857.9199</v>
      </c>
      <c r="D186">
        <v>-42621012422820.602</v>
      </c>
      <c r="E186">
        <v>169627504197867</v>
      </c>
      <c r="F186">
        <v>5709463702695.29</v>
      </c>
      <c r="G186">
        <v>175336967900563</v>
      </c>
      <c r="H186">
        <v>525914668984517</v>
      </c>
      <c r="I186">
        <v>1162244622099.1599</v>
      </c>
      <c r="J186">
        <v>527076913606617</v>
      </c>
      <c r="K186">
        <v>2172419028883450</v>
      </c>
      <c r="L186">
        <v>403760394003772</v>
      </c>
      <c r="M186">
        <v>2576179422887220</v>
      </c>
      <c r="N186">
        <v>98026765546098.297</v>
      </c>
      <c r="O186">
        <v>41765072635171</v>
      </c>
      <c r="P186">
        <v>139791838181269</v>
      </c>
      <c r="Q186">
        <v>0</v>
      </c>
      <c r="R186">
        <v>0</v>
      </c>
      <c r="S186">
        <v>0</v>
      </c>
      <c r="T186">
        <v>0</v>
      </c>
      <c r="U186">
        <v>0</v>
      </c>
      <c r="V186">
        <v>0</v>
      </c>
      <c r="W186">
        <v>4190460628096890</v>
      </c>
      <c r="X186">
        <v>524439695079171</v>
      </c>
      <c r="Y186">
        <v>4714900323176060</v>
      </c>
      <c r="Z186">
        <v>4240453215859550</v>
      </c>
      <c r="AA186">
        <v>531607530251383</v>
      </c>
      <c r="AB186">
        <v>4772060746110930</v>
      </c>
      <c r="AC186">
        <v>973708130772800</v>
      </c>
      <c r="AD186">
        <v>71123450828660.406</v>
      </c>
      <c r="AE186">
        <v>1044831581601460</v>
      </c>
      <c r="AF186">
        <v>251303215977154</v>
      </c>
      <c r="AG186">
        <v>1026338927402.35</v>
      </c>
      <c r="AH186">
        <v>252329554904556</v>
      </c>
      <c r="AI186">
        <v>418284073641849</v>
      </c>
      <c r="AJ186">
        <v>52947435154089.5</v>
      </c>
      <c r="AK186">
        <v>471231508795938</v>
      </c>
      <c r="AL186">
        <v>429360294465576</v>
      </c>
      <c r="AM186">
        <v>56425067893400.602</v>
      </c>
      <c r="AN186">
        <v>485785362358977</v>
      </c>
      <c r="AO186">
        <v>3789044514670650</v>
      </c>
      <c r="AP186">
        <v>520417489645663</v>
      </c>
      <c r="AQ186">
        <v>4309462004316310</v>
      </c>
      <c r="AR186"/>
      <c r="AS186">
        <f t="shared" si="30"/>
        <v>4240995040835576</v>
      </c>
      <c r="AT186">
        <f t="shared" si="30"/>
        <v>531726104231969.25</v>
      </c>
      <c r="AU186">
        <f t="shared" si="30"/>
        <v>4772721145067545</v>
      </c>
      <c r="AV186">
        <f t="shared" si="31"/>
        <v>1.0001277752514754</v>
      </c>
      <c r="AW186">
        <f t="shared" si="31"/>
        <v>1.0002230479702388</v>
      </c>
      <c r="AX186">
        <f t="shared" si="31"/>
        <v>1.0001383886316102</v>
      </c>
      <c r="AY186"/>
      <c r="AZ186"/>
      <c r="BA186"/>
      <c r="BB186"/>
      <c r="BC186" s="23"/>
      <c r="BD186"/>
      <c r="BE186"/>
    </row>
    <row r="187" spans="1:57" x14ac:dyDescent="0.3">
      <c r="A187">
        <v>1963</v>
      </c>
      <c r="B187">
        <v>-12197353098355.4</v>
      </c>
      <c r="C187">
        <v>628832230695.53699</v>
      </c>
      <c r="D187">
        <v>-11568520867659.9</v>
      </c>
      <c r="E187">
        <v>172913784951903</v>
      </c>
      <c r="F187">
        <v>5530813315919.0498</v>
      </c>
      <c r="G187">
        <v>178444598267822</v>
      </c>
      <c r="H187">
        <v>555143082058281</v>
      </c>
      <c r="I187">
        <v>1050751144535.22</v>
      </c>
      <c r="J187">
        <v>556193833202816</v>
      </c>
      <c r="K187">
        <v>2218341184505650</v>
      </c>
      <c r="L187">
        <v>419107614758948</v>
      </c>
      <c r="M187">
        <v>2637448799264600</v>
      </c>
      <c r="N187">
        <v>109147554441165</v>
      </c>
      <c r="O187">
        <v>43481366369851.703</v>
      </c>
      <c r="P187">
        <v>152628920811017</v>
      </c>
      <c r="Q187">
        <v>0</v>
      </c>
      <c r="R187">
        <v>0</v>
      </c>
      <c r="S187">
        <v>0</v>
      </c>
      <c r="T187">
        <v>0</v>
      </c>
      <c r="U187">
        <v>0</v>
      </c>
      <c r="V187">
        <v>0</v>
      </c>
      <c r="W187">
        <v>4322721457781330</v>
      </c>
      <c r="X187">
        <v>538832112822028</v>
      </c>
      <c r="Y187">
        <v>4861553570603350</v>
      </c>
      <c r="Z187">
        <v>4339385061909640</v>
      </c>
      <c r="AA187">
        <v>541649659625299</v>
      </c>
      <c r="AB187">
        <v>4881034721534940</v>
      </c>
      <c r="AC187">
        <v>1010960693906280</v>
      </c>
      <c r="AD187">
        <v>69372342104795.703</v>
      </c>
      <c r="AE187">
        <v>1080333036011070</v>
      </c>
      <c r="AF187">
        <v>256508369581076</v>
      </c>
      <c r="AG187">
        <v>1080108678545.67</v>
      </c>
      <c r="AH187">
        <v>257588478259621</v>
      </c>
      <c r="AI187">
        <v>441876944440928</v>
      </c>
      <c r="AJ187">
        <v>59136056046730.602</v>
      </c>
      <c r="AK187">
        <v>501013000487659</v>
      </c>
      <c r="AL187">
        <v>446345659179377</v>
      </c>
      <c r="AM187">
        <v>62587587960363.102</v>
      </c>
      <c r="AN187">
        <v>508933247139740</v>
      </c>
      <c r="AO187">
        <v>3861557482446390</v>
      </c>
      <c r="AP187">
        <v>531369951402211</v>
      </c>
      <c r="AQ187">
        <v>4392927433848600</v>
      </c>
      <c r="AR187"/>
      <c r="AS187">
        <f t="shared" si="30"/>
        <v>4339680737281159</v>
      </c>
      <c r="AT187">
        <f t="shared" si="30"/>
        <v>542445696055532.38</v>
      </c>
      <c r="AU187">
        <f t="shared" si="30"/>
        <v>4882126433336687</v>
      </c>
      <c r="AV187">
        <f t="shared" si="31"/>
        <v>1.000068137620262</v>
      </c>
      <c r="AW187">
        <f t="shared" si="31"/>
        <v>1.001469651860917</v>
      </c>
      <c r="AX187">
        <f t="shared" si="31"/>
        <v>1.0002236640106104</v>
      </c>
      <c r="AY187"/>
      <c r="AZ187"/>
      <c r="BA187"/>
      <c r="BB187"/>
      <c r="BC187" s="23"/>
      <c r="BD187"/>
      <c r="BE187"/>
    </row>
    <row r="188" spans="1:57" x14ac:dyDescent="0.3">
      <c r="A188">
        <v>1964</v>
      </c>
      <c r="B188">
        <v>-62239659282219.898</v>
      </c>
      <c r="C188">
        <v>-574334645981.84204</v>
      </c>
      <c r="D188">
        <v>-62813993928201.703</v>
      </c>
      <c r="E188">
        <v>191041892777416</v>
      </c>
      <c r="F188">
        <v>5754982175007.1602</v>
      </c>
      <c r="G188">
        <v>196796874952423</v>
      </c>
      <c r="H188">
        <v>605451251701203</v>
      </c>
      <c r="I188">
        <v>1243525322829.8101</v>
      </c>
      <c r="J188">
        <v>606694777024032</v>
      </c>
      <c r="K188">
        <v>2297981640145000</v>
      </c>
      <c r="L188">
        <v>426544987376240</v>
      </c>
      <c r="M188">
        <v>2724526627521240</v>
      </c>
      <c r="N188">
        <v>115351591237324</v>
      </c>
      <c r="O188">
        <v>42976978424636.398</v>
      </c>
      <c r="P188">
        <v>158328569661961</v>
      </c>
      <c r="Q188">
        <v>0</v>
      </c>
      <c r="R188">
        <v>0</v>
      </c>
      <c r="S188">
        <v>0</v>
      </c>
      <c r="T188">
        <v>0</v>
      </c>
      <c r="U188">
        <v>0</v>
      </c>
      <c r="V188">
        <v>0</v>
      </c>
      <c r="W188">
        <v>4527596364596610</v>
      </c>
      <c r="X188">
        <v>550860561375598</v>
      </c>
      <c r="Y188">
        <v>5078456925972210</v>
      </c>
      <c r="Z188">
        <v>4604576574095450</v>
      </c>
      <c r="AA188">
        <v>555569414627317</v>
      </c>
      <c r="AB188">
        <v>5160145988722760</v>
      </c>
      <c r="AC188">
        <v>1066249189705780</v>
      </c>
      <c r="AD188">
        <v>73337177459396.906</v>
      </c>
      <c r="AE188">
        <v>1139586367165180</v>
      </c>
      <c r="AF188">
        <v>252741409603405</v>
      </c>
      <c r="AG188">
        <v>1116720366796.3999</v>
      </c>
      <c r="AH188">
        <v>253858129970201</v>
      </c>
      <c r="AI188">
        <v>478115264974972</v>
      </c>
      <c r="AJ188">
        <v>64598642429886.297</v>
      </c>
      <c r="AK188">
        <v>542713907404858</v>
      </c>
      <c r="AL188">
        <v>492855366364244</v>
      </c>
      <c r="AM188">
        <v>68729491922670.898</v>
      </c>
      <c r="AN188">
        <v>561584858286915</v>
      </c>
      <c r="AO188">
        <v>4089087885331710</v>
      </c>
      <c r="AP188">
        <v>544502904007424</v>
      </c>
      <c r="AQ188">
        <v>4633590789339130</v>
      </c>
      <c r="AR188"/>
      <c r="AS188">
        <f t="shared" si="30"/>
        <v>4605796735841620</v>
      </c>
      <c r="AT188">
        <f t="shared" si="30"/>
        <v>555679555263673.19</v>
      </c>
      <c r="AU188">
        <f t="shared" si="30"/>
        <v>5161476291105296</v>
      </c>
      <c r="AV188">
        <f t="shared" si="31"/>
        <v>1.0002649889140804</v>
      </c>
      <c r="AW188">
        <f t="shared" si="31"/>
        <v>1.0001982481998763</v>
      </c>
      <c r="AX188">
        <f t="shared" si="31"/>
        <v>1.0002578032453817</v>
      </c>
      <c r="AY188"/>
      <c r="AZ188"/>
      <c r="BA188"/>
      <c r="BB188"/>
      <c r="BC188" s="23"/>
      <c r="BD188"/>
      <c r="BE188"/>
    </row>
    <row r="189" spans="1:57" x14ac:dyDescent="0.3">
      <c r="A189">
        <v>1965</v>
      </c>
      <c r="B189">
        <v>93994092114623.406</v>
      </c>
      <c r="C189">
        <v>-2115472046709.22</v>
      </c>
      <c r="D189">
        <v>91878620067914.203</v>
      </c>
      <c r="E189">
        <v>185618552201094</v>
      </c>
      <c r="F189">
        <v>5952666662106.1699</v>
      </c>
      <c r="G189">
        <v>191571218863201</v>
      </c>
      <c r="H189">
        <v>625222789510542</v>
      </c>
      <c r="I189">
        <v>1093788473627.13</v>
      </c>
      <c r="J189">
        <v>626316577984169</v>
      </c>
      <c r="K189">
        <v>2367626004912590</v>
      </c>
      <c r="L189">
        <v>438679425770035</v>
      </c>
      <c r="M189">
        <v>2806305430682620</v>
      </c>
      <c r="N189">
        <v>144183827208041</v>
      </c>
      <c r="O189">
        <v>44862157576396.602</v>
      </c>
      <c r="P189">
        <v>189045984784438</v>
      </c>
      <c r="Q189">
        <v>0</v>
      </c>
      <c r="R189">
        <v>0</v>
      </c>
      <c r="S189">
        <v>0</v>
      </c>
      <c r="T189">
        <v>0</v>
      </c>
      <c r="U189">
        <v>0</v>
      </c>
      <c r="V189">
        <v>0</v>
      </c>
      <c r="W189">
        <v>4735585090447090</v>
      </c>
      <c r="X189">
        <v>571369478820858</v>
      </c>
      <c r="Y189">
        <v>5306954569267950</v>
      </c>
      <c r="Z189">
        <v>4652126503078440</v>
      </c>
      <c r="AA189">
        <v>578703797401770</v>
      </c>
      <c r="AB189">
        <v>5230830300480210</v>
      </c>
      <c r="AC189">
        <v>1162898468320760</v>
      </c>
      <c r="AD189">
        <v>79928903619745.5</v>
      </c>
      <c r="AE189">
        <v>1242827371940510</v>
      </c>
      <c r="AF189">
        <v>251082567367181</v>
      </c>
      <c r="AG189">
        <v>1200845095132.01</v>
      </c>
      <c r="AH189">
        <v>252283412462313</v>
      </c>
      <c r="AI189">
        <v>502778763257558</v>
      </c>
      <c r="AJ189">
        <v>62616195167291.297</v>
      </c>
      <c r="AK189">
        <v>565394958424850</v>
      </c>
      <c r="AL189">
        <v>513263169343846</v>
      </c>
      <c r="AM189">
        <v>67833203644642.398</v>
      </c>
      <c r="AN189">
        <v>581096372988489</v>
      </c>
      <c r="AO189">
        <v>4108066207387500</v>
      </c>
      <c r="AP189">
        <v>567423245815498</v>
      </c>
      <c r="AQ189">
        <v>4675489453203000</v>
      </c>
      <c r="AR189"/>
      <c r="AS189">
        <f t="shared" si="30"/>
        <v>4653122523491873</v>
      </c>
      <c r="AT189">
        <f t="shared" si="30"/>
        <v>579050267721102.75</v>
      </c>
      <c r="AU189">
        <f t="shared" si="30"/>
        <v>5232172791212976</v>
      </c>
      <c r="AV189">
        <f t="shared" si="31"/>
        <v>1.0002141000277558</v>
      </c>
      <c r="AW189">
        <f t="shared" si="31"/>
        <v>1.0005987006148713</v>
      </c>
      <c r="AX189">
        <f t="shared" si="31"/>
        <v>1.0002566496436796</v>
      </c>
      <c r="AY189"/>
      <c r="AZ189"/>
      <c r="BA189"/>
      <c r="BB189"/>
      <c r="BC189" s="23"/>
      <c r="BD189"/>
      <c r="BE189"/>
    </row>
    <row r="190" spans="1:57" x14ac:dyDescent="0.3">
      <c r="A190">
        <v>1966</v>
      </c>
      <c r="B190">
        <v>-62171517343855.297</v>
      </c>
      <c r="C190">
        <v>-4710312228461.9502</v>
      </c>
      <c r="D190">
        <v>-66881829572317.203</v>
      </c>
      <c r="E190">
        <v>192499824986045</v>
      </c>
      <c r="F190">
        <v>6230610709174.6201</v>
      </c>
      <c r="G190">
        <v>198730435695220</v>
      </c>
      <c r="H190">
        <v>652408854388853</v>
      </c>
      <c r="I190">
        <v>975614976218.10706</v>
      </c>
      <c r="J190">
        <v>653384469365071</v>
      </c>
      <c r="K190">
        <v>2429229931134700</v>
      </c>
      <c r="L190">
        <v>452330773290693</v>
      </c>
      <c r="M190">
        <v>2881560704425390</v>
      </c>
      <c r="N190">
        <v>125351065117035</v>
      </c>
      <c r="O190">
        <v>45743575469964.703</v>
      </c>
      <c r="P190">
        <v>171094640587000</v>
      </c>
      <c r="Q190">
        <v>0</v>
      </c>
      <c r="R190">
        <v>0</v>
      </c>
      <c r="S190">
        <v>0</v>
      </c>
      <c r="T190">
        <v>0</v>
      </c>
      <c r="U190">
        <v>0</v>
      </c>
      <c r="V190">
        <v>0</v>
      </c>
      <c r="W190">
        <v>4866010721524510</v>
      </c>
      <c r="X190">
        <v>587536485746697</v>
      </c>
      <c r="Y190">
        <v>5453547207271210</v>
      </c>
      <c r="Z190">
        <v>4932180346662220</v>
      </c>
      <c r="AA190">
        <v>597157785691162</v>
      </c>
      <c r="AB190">
        <v>5529338132353380</v>
      </c>
      <c r="AC190">
        <v>1216579604517940</v>
      </c>
      <c r="AD190">
        <v>81183901026748.594</v>
      </c>
      <c r="AE190">
        <v>1297763505544690</v>
      </c>
      <c r="AF190">
        <v>251072611417832</v>
      </c>
      <c r="AG190">
        <v>1263159843844.6101</v>
      </c>
      <c r="AH190">
        <v>252335771261677</v>
      </c>
      <c r="AI190">
        <v>540122219801297</v>
      </c>
      <c r="AJ190">
        <v>63785488159144.5</v>
      </c>
      <c r="AK190">
        <v>603907707960442</v>
      </c>
      <c r="AL190">
        <v>544147389429014</v>
      </c>
      <c r="AM190">
        <v>68684807729915.203</v>
      </c>
      <c r="AN190">
        <v>612832197158930</v>
      </c>
      <c r="AO190">
        <v>4375352631360830</v>
      </c>
      <c r="AP190">
        <v>585618606617274</v>
      </c>
      <c r="AQ190">
        <v>4960971237978100</v>
      </c>
      <c r="AR190"/>
      <c r="AS190">
        <f t="shared" si="30"/>
        <v>4933338578533977</v>
      </c>
      <c r="AT190">
        <f t="shared" si="30"/>
        <v>597337267115876.38</v>
      </c>
      <c r="AU190">
        <f t="shared" si="30"/>
        <v>5530675845649853</v>
      </c>
      <c r="AV190">
        <f t="shared" si="31"/>
        <v>1.0002348316140834</v>
      </c>
      <c r="AW190">
        <f t="shared" si="31"/>
        <v>1.0003005594652117</v>
      </c>
      <c r="AX190">
        <f t="shared" si="31"/>
        <v>1.0002419300944259</v>
      </c>
      <c r="AY190"/>
      <c r="AZ190"/>
      <c r="BA190"/>
      <c r="BB190"/>
      <c r="BC190" s="23"/>
      <c r="BD190"/>
      <c r="BE190"/>
    </row>
    <row r="191" spans="1:57" x14ac:dyDescent="0.3">
      <c r="A191">
        <v>1967</v>
      </c>
      <c r="B191">
        <v>-119165494965150</v>
      </c>
      <c r="C191">
        <v>-6207467158813.7002</v>
      </c>
      <c r="D191">
        <v>-125372962123963</v>
      </c>
      <c r="E191">
        <v>196758551480838</v>
      </c>
      <c r="F191">
        <v>6693637453873</v>
      </c>
      <c r="G191">
        <v>203452188934711</v>
      </c>
      <c r="H191">
        <v>671188963082467</v>
      </c>
      <c r="I191">
        <v>931919085803.77502</v>
      </c>
      <c r="J191">
        <v>672120882168271</v>
      </c>
      <c r="K191">
        <v>2476543986585260</v>
      </c>
      <c r="L191">
        <v>468568859152998</v>
      </c>
      <c r="M191">
        <v>2945112845738260</v>
      </c>
      <c r="N191">
        <v>127691012082317</v>
      </c>
      <c r="O191">
        <v>49372854666437.102</v>
      </c>
      <c r="P191">
        <v>177063866748754</v>
      </c>
      <c r="Q191">
        <v>0</v>
      </c>
      <c r="R191">
        <v>0</v>
      </c>
      <c r="S191">
        <v>0</v>
      </c>
      <c r="T191">
        <v>0</v>
      </c>
      <c r="U191">
        <v>0</v>
      </c>
      <c r="V191">
        <v>0</v>
      </c>
      <c r="W191">
        <v>4984053181874840</v>
      </c>
      <c r="X191">
        <v>609611564837540</v>
      </c>
      <c r="Y191">
        <v>5593664746712390</v>
      </c>
      <c r="Z191">
        <v>5105853880011910</v>
      </c>
      <c r="AA191">
        <v>621230393235077</v>
      </c>
      <c r="AB191">
        <v>5727084273246990</v>
      </c>
      <c r="AC191">
        <v>1261356593643220</v>
      </c>
      <c r="AD191">
        <v>82935115295334.797</v>
      </c>
      <c r="AE191">
        <v>1344291708938550</v>
      </c>
      <c r="AF191">
        <v>251987955129507</v>
      </c>
      <c r="AG191">
        <v>1279863167958.3799</v>
      </c>
      <c r="AH191">
        <v>253267818297465</v>
      </c>
      <c r="AI191">
        <v>523940804640299</v>
      </c>
      <c r="AJ191">
        <v>70106267155892.102</v>
      </c>
      <c r="AK191">
        <v>594047071796191</v>
      </c>
      <c r="AL191">
        <v>526572882530040</v>
      </c>
      <c r="AM191">
        <v>75528501531881.5</v>
      </c>
      <c r="AN191">
        <v>602101384061921</v>
      </c>
      <c r="AO191">
        <v>4539675576947650</v>
      </c>
      <c r="AP191">
        <v>607522748865836</v>
      </c>
      <c r="AQ191">
        <v>5147198325813490</v>
      </c>
      <c r="AR191"/>
      <c r="AS191">
        <f t="shared" si="30"/>
        <v>5107324634858500</v>
      </c>
      <c r="AT191">
        <f t="shared" si="30"/>
        <v>621411950357208.13</v>
      </c>
      <c r="AU191">
        <f t="shared" si="30"/>
        <v>5728736585215704</v>
      </c>
      <c r="AV191">
        <f t="shared" si="31"/>
        <v>1.0002880526707487</v>
      </c>
      <c r="AW191">
        <f t="shared" si="31"/>
        <v>1.0002922540881904</v>
      </c>
      <c r="AX191">
        <f t="shared" si="31"/>
        <v>1.0002885084084465</v>
      </c>
      <c r="AY191"/>
      <c r="AZ191"/>
      <c r="BA191"/>
      <c r="BB191"/>
      <c r="BC191" s="23"/>
      <c r="BD191"/>
      <c r="BE191"/>
    </row>
    <row r="192" spans="1:57" x14ac:dyDescent="0.3">
      <c r="A192">
        <v>1968</v>
      </c>
      <c r="B192">
        <v>-106768543150808</v>
      </c>
      <c r="C192">
        <v>1778198363205.75</v>
      </c>
      <c r="D192">
        <v>-104990344787603</v>
      </c>
      <c r="E192">
        <v>207901826187573</v>
      </c>
      <c r="F192">
        <v>7046197049901.6904</v>
      </c>
      <c r="G192">
        <v>214948023237475</v>
      </c>
      <c r="H192">
        <v>679181950343600</v>
      </c>
      <c r="I192">
        <v>1122846378430.49</v>
      </c>
      <c r="J192">
        <v>680304796722030</v>
      </c>
      <c r="K192">
        <v>2526000307142590</v>
      </c>
      <c r="L192">
        <v>485274879435161</v>
      </c>
      <c r="M192">
        <v>3011275186577750</v>
      </c>
      <c r="N192">
        <v>126351722631386</v>
      </c>
      <c r="O192">
        <v>50997319608304.102</v>
      </c>
      <c r="P192">
        <v>177349042239690</v>
      </c>
      <c r="Q192">
        <v>0</v>
      </c>
      <c r="R192">
        <v>0</v>
      </c>
      <c r="S192">
        <v>0</v>
      </c>
      <c r="T192">
        <v>0</v>
      </c>
      <c r="U192">
        <v>0</v>
      </c>
      <c r="V192">
        <v>0</v>
      </c>
      <c r="W192">
        <v>5129914479239180</v>
      </c>
      <c r="X192">
        <v>633469090219949</v>
      </c>
      <c r="Y192">
        <v>5763383569459130</v>
      </c>
      <c r="Z192">
        <v>5250425992041390</v>
      </c>
      <c r="AA192">
        <v>636867491275691</v>
      </c>
      <c r="AB192">
        <v>5887293483317080</v>
      </c>
      <c r="AC192">
        <v>1337658749332580</v>
      </c>
      <c r="AD192">
        <v>87803769918240.594</v>
      </c>
      <c r="AE192">
        <v>1425462519250820</v>
      </c>
      <c r="AF192">
        <v>254331551109475</v>
      </c>
      <c r="AG192">
        <v>1361789002349.04</v>
      </c>
      <c r="AH192">
        <v>255693340111824</v>
      </c>
      <c r="AI192">
        <v>516061725662730</v>
      </c>
      <c r="AJ192">
        <v>75766734743079.703</v>
      </c>
      <c r="AK192">
        <v>591828460405809</v>
      </c>
      <c r="AL192">
        <v>529802101694516</v>
      </c>
      <c r="AM192">
        <v>80920840638262</v>
      </c>
      <c r="AN192">
        <v>610722942332778</v>
      </c>
      <c r="AO192">
        <v>4676819927134670</v>
      </c>
      <c r="AP192">
        <v>623739341654332</v>
      </c>
      <c r="AQ192">
        <v>5300559268789000</v>
      </c>
      <c r="AR192"/>
      <c r="AS192">
        <f t="shared" si="30"/>
        <v>5251935025929798</v>
      </c>
      <c r="AT192">
        <f t="shared" si="30"/>
        <v>636982708924363.38</v>
      </c>
      <c r="AU192">
        <f t="shared" si="30"/>
        <v>5888917734854161</v>
      </c>
      <c r="AV192">
        <f t="shared" si="31"/>
        <v>1.0002874117053921</v>
      </c>
      <c r="AW192">
        <f t="shared" si="31"/>
        <v>1.0001809130631578</v>
      </c>
      <c r="AX192">
        <f t="shared" si="31"/>
        <v>1.0002758910425791</v>
      </c>
      <c r="AY192"/>
      <c r="AZ192"/>
      <c r="BA192"/>
      <c r="BB192"/>
      <c r="BC192" s="23"/>
      <c r="BD192"/>
      <c r="BE192"/>
    </row>
    <row r="193" spans="1:57" x14ac:dyDescent="0.3">
      <c r="A193">
        <v>1969</v>
      </c>
      <c r="B193">
        <v>14442727412579.801</v>
      </c>
      <c r="C193">
        <v>3486605244673.5801</v>
      </c>
      <c r="D193">
        <v>17929332657253.398</v>
      </c>
      <c r="E193">
        <v>220529866517003</v>
      </c>
      <c r="F193">
        <v>6945812483461.0498</v>
      </c>
      <c r="G193">
        <v>227475679000464</v>
      </c>
      <c r="H193">
        <v>678293600007680</v>
      </c>
      <c r="I193">
        <v>1112925116022.1799</v>
      </c>
      <c r="J193">
        <v>679406525123702</v>
      </c>
      <c r="K193">
        <v>2594236915608790</v>
      </c>
      <c r="L193">
        <v>490555537499263</v>
      </c>
      <c r="M193">
        <v>3084792453108050</v>
      </c>
      <c r="N193">
        <v>129521352428933</v>
      </c>
      <c r="O193">
        <v>51211238273011.602</v>
      </c>
      <c r="P193">
        <v>180732590701945</v>
      </c>
      <c r="Q193">
        <v>0</v>
      </c>
      <c r="R193">
        <v>0</v>
      </c>
      <c r="S193">
        <v>0</v>
      </c>
      <c r="T193">
        <v>0</v>
      </c>
      <c r="U193">
        <v>0</v>
      </c>
      <c r="V193">
        <v>0</v>
      </c>
      <c r="W193">
        <v>5282129132306850</v>
      </c>
      <c r="X193">
        <v>637912541349182</v>
      </c>
      <c r="Y193">
        <v>5920041673656040</v>
      </c>
      <c r="Z193">
        <v>5271986483737930</v>
      </c>
      <c r="AA193">
        <v>635951066346226</v>
      </c>
      <c r="AB193">
        <v>5907937550084160</v>
      </c>
      <c r="AC193">
        <v>1407589734278500</v>
      </c>
      <c r="AD193">
        <v>86829712167340.703</v>
      </c>
      <c r="AE193">
        <v>1494419446445840</v>
      </c>
      <c r="AF193">
        <v>253650231260351</v>
      </c>
      <c r="AG193">
        <v>1406688501329.6799</v>
      </c>
      <c r="AH193">
        <v>255056919761680</v>
      </c>
      <c r="AI193">
        <v>511892504390942</v>
      </c>
      <c r="AJ193">
        <v>76390698279315.203</v>
      </c>
      <c r="AK193">
        <v>588283202670257</v>
      </c>
      <c r="AL193">
        <v>516185774653648</v>
      </c>
      <c r="AM193">
        <v>77894647143091.5</v>
      </c>
      <c r="AN193">
        <v>594080421796739</v>
      </c>
      <c r="AO193">
        <v>4684723055035800</v>
      </c>
      <c r="AP193">
        <v>624565112805279</v>
      </c>
      <c r="AQ193">
        <v>5309288167841080</v>
      </c>
      <c r="AR193"/>
      <c r="AS193">
        <f t="shared" si="30"/>
        <v>5273672242951383</v>
      </c>
      <c r="AT193">
        <f t="shared" si="30"/>
        <v>636079257659530.75</v>
      </c>
      <c r="AU193">
        <f t="shared" si="30"/>
        <v>5909751500610910</v>
      </c>
      <c r="AV193">
        <f t="shared" si="31"/>
        <v>1.0003197578784873</v>
      </c>
      <c r="AW193">
        <f t="shared" si="31"/>
        <v>1.0002015741777763</v>
      </c>
      <c r="AX193">
        <f t="shared" si="31"/>
        <v>1.000307036171485</v>
      </c>
      <c r="AY193"/>
      <c r="AZ193"/>
      <c r="BA193"/>
      <c r="BB193"/>
      <c r="BC193" s="23"/>
      <c r="BD193"/>
      <c r="BE193"/>
    </row>
    <row r="194" spans="1:57" x14ac:dyDescent="0.3">
      <c r="A194">
        <v>1970</v>
      </c>
      <c r="B194">
        <v>84059153692248.5</v>
      </c>
      <c r="C194">
        <v>-1019079587666.54</v>
      </c>
      <c r="D194">
        <v>83040074104581.906</v>
      </c>
      <c r="E194">
        <v>233253177297474</v>
      </c>
      <c r="F194">
        <v>6835410131593.9502</v>
      </c>
      <c r="G194">
        <v>240088587429068</v>
      </c>
      <c r="H194">
        <v>747481396657505</v>
      </c>
      <c r="I194">
        <v>934400167781.57996</v>
      </c>
      <c r="J194">
        <v>748415796825286</v>
      </c>
      <c r="K194">
        <v>2709707255730670</v>
      </c>
      <c r="L194">
        <v>502472884452679</v>
      </c>
      <c r="M194">
        <v>3212180140183350</v>
      </c>
      <c r="N194">
        <v>140482313779216</v>
      </c>
      <c r="O194">
        <v>52220601736277.703</v>
      </c>
      <c r="P194">
        <v>192702915515494</v>
      </c>
      <c r="Q194">
        <v>0</v>
      </c>
      <c r="R194">
        <v>0</v>
      </c>
      <c r="S194">
        <v>0</v>
      </c>
      <c r="T194">
        <v>0</v>
      </c>
      <c r="U194">
        <v>0</v>
      </c>
      <c r="V194">
        <v>0</v>
      </c>
      <c r="W194">
        <v>5550414679821970</v>
      </c>
      <c r="X194">
        <v>647246692527446</v>
      </c>
      <c r="Y194">
        <v>6197661372349420</v>
      </c>
      <c r="Z194">
        <v>5475435104572280</v>
      </c>
      <c r="AA194">
        <v>654132854258283</v>
      </c>
      <c r="AB194">
        <v>6129567958830560</v>
      </c>
      <c r="AC194">
        <v>1464995687144060</v>
      </c>
      <c r="AD194">
        <v>83675386842590.5</v>
      </c>
      <c r="AE194">
        <v>1548671073986650</v>
      </c>
      <c r="AF194">
        <v>257132737439695</v>
      </c>
      <c r="AG194">
        <v>1502384311664.0601</v>
      </c>
      <c r="AH194">
        <v>258635121751359</v>
      </c>
      <c r="AI194">
        <v>579470726744932</v>
      </c>
      <c r="AJ194">
        <v>76931705129282</v>
      </c>
      <c r="AK194">
        <v>656402431874214</v>
      </c>
      <c r="AL194">
        <v>588571613660483</v>
      </c>
      <c r="AM194">
        <v>82808254841104</v>
      </c>
      <c r="AN194">
        <v>671379868501587</v>
      </c>
      <c r="AO194">
        <v>4837973675559320</v>
      </c>
      <c r="AP194">
        <v>641681357281681</v>
      </c>
      <c r="AQ194">
        <v>5479655032841000</v>
      </c>
      <c r="AR194"/>
      <c r="AS194">
        <f t="shared" si="30"/>
        <v>5478094301271922</v>
      </c>
      <c r="AT194">
        <f t="shared" si="30"/>
        <v>654536696942075.25</v>
      </c>
      <c r="AU194">
        <f t="shared" si="30"/>
        <v>6132630998213998</v>
      </c>
      <c r="AV194">
        <f t="shared" si="31"/>
        <v>1.000485659431416</v>
      </c>
      <c r="AW194">
        <f t="shared" si="31"/>
        <v>1.0006173710449846</v>
      </c>
      <c r="AX194">
        <f t="shared" si="31"/>
        <v>1.0004997153802699</v>
      </c>
      <c r="AY194"/>
      <c r="AZ194"/>
      <c r="BA194"/>
      <c r="BB194"/>
      <c r="BC194" s="23"/>
      <c r="BD194"/>
      <c r="BE194"/>
    </row>
    <row r="195" spans="1:57" x14ac:dyDescent="0.3">
      <c r="A195">
        <v>1971</v>
      </c>
      <c r="B195">
        <v>-136559933219005</v>
      </c>
      <c r="C195">
        <v>-3608157962141.1602</v>
      </c>
      <c r="D195">
        <v>-140168091181146</v>
      </c>
      <c r="E195">
        <v>215644916432598</v>
      </c>
      <c r="F195">
        <v>7052097449931.1104</v>
      </c>
      <c r="G195">
        <v>222697013882529</v>
      </c>
      <c r="H195">
        <v>760360254783250</v>
      </c>
      <c r="I195">
        <v>1162232978170.8701</v>
      </c>
      <c r="J195">
        <v>761522487761421</v>
      </c>
      <c r="K195">
        <v>2726178412104360</v>
      </c>
      <c r="L195">
        <v>517366243099905</v>
      </c>
      <c r="M195">
        <v>3243544655204270</v>
      </c>
      <c r="N195">
        <v>146496815399858</v>
      </c>
      <c r="O195">
        <v>55878910784818.297</v>
      </c>
      <c r="P195">
        <v>202375726184676</v>
      </c>
      <c r="Q195">
        <v>0</v>
      </c>
      <c r="R195">
        <v>0</v>
      </c>
      <c r="S195">
        <v>0</v>
      </c>
      <c r="T195">
        <v>0</v>
      </c>
      <c r="U195">
        <v>0</v>
      </c>
      <c r="V195">
        <v>0</v>
      </c>
      <c r="W195">
        <v>5643224627154400</v>
      </c>
      <c r="X195">
        <v>664351479325024</v>
      </c>
      <c r="Y195">
        <v>6307576106479430</v>
      </c>
      <c r="Z195">
        <v>5792735123637820</v>
      </c>
      <c r="AA195">
        <v>674103628070041</v>
      </c>
      <c r="AB195">
        <v>6466838751707860</v>
      </c>
      <c r="AC195">
        <v>1536602528838310</v>
      </c>
      <c r="AD195">
        <v>81998023976577.797</v>
      </c>
      <c r="AE195">
        <v>1618600552814890</v>
      </c>
      <c r="AF195">
        <v>260885845016429</v>
      </c>
      <c r="AG195">
        <v>1559312881686.1001</v>
      </c>
      <c r="AH195">
        <v>262445157898116</v>
      </c>
      <c r="AI195">
        <v>597811785007618</v>
      </c>
      <c r="AJ195">
        <v>77969142583867.5</v>
      </c>
      <c r="AK195">
        <v>675780927591486</v>
      </c>
      <c r="AL195">
        <v>610765553180751</v>
      </c>
      <c r="AM195">
        <v>84130305003342.703</v>
      </c>
      <c r="AN195">
        <v>694895858184093</v>
      </c>
      <c r="AO195">
        <v>5135610735062720</v>
      </c>
      <c r="AP195">
        <v>660575106542955</v>
      </c>
      <c r="AQ195">
        <v>5796185841605680</v>
      </c>
      <c r="AR195"/>
      <c r="AS195">
        <f t="shared" si="30"/>
        <v>5795682473966943</v>
      </c>
      <c r="AT195">
        <f t="shared" si="30"/>
        <v>674786141552705.5</v>
      </c>
      <c r="AU195">
        <f t="shared" si="30"/>
        <v>6470468615519655</v>
      </c>
      <c r="AV195">
        <f t="shared" si="31"/>
        <v>1.0005088011563132</v>
      </c>
      <c r="AW195">
        <f t="shared" si="31"/>
        <v>1.0010124756109362</v>
      </c>
      <c r="AX195">
        <f t="shared" si="31"/>
        <v>1.0005613042092376</v>
      </c>
      <c r="AY195"/>
      <c r="AZ195"/>
      <c r="BA195"/>
      <c r="BB195"/>
      <c r="BC195" s="23"/>
      <c r="BD195"/>
      <c r="BE195"/>
    </row>
    <row r="196" spans="1:57" x14ac:dyDescent="0.3">
      <c r="A196">
        <v>1972</v>
      </c>
      <c r="B196">
        <v>116441272560975</v>
      </c>
      <c r="C196">
        <v>3713346033859.8799</v>
      </c>
      <c r="D196">
        <v>120154618594835</v>
      </c>
      <c r="E196">
        <v>222211185169997</v>
      </c>
      <c r="F196">
        <v>7394492413828.1201</v>
      </c>
      <c r="G196">
        <v>229605677583825</v>
      </c>
      <c r="H196">
        <v>763557770997650</v>
      </c>
      <c r="I196">
        <v>1433881422006.3701</v>
      </c>
      <c r="J196">
        <v>764991652419656</v>
      </c>
      <c r="K196">
        <v>2758109349428470</v>
      </c>
      <c r="L196">
        <v>531343433191717</v>
      </c>
      <c r="M196">
        <v>3289452782620190</v>
      </c>
      <c r="N196">
        <v>147168413283068</v>
      </c>
      <c r="O196">
        <v>58430494795577</v>
      </c>
      <c r="P196">
        <v>205598908078645</v>
      </c>
      <c r="Q196">
        <v>0</v>
      </c>
      <c r="R196">
        <v>0</v>
      </c>
      <c r="S196">
        <v>0</v>
      </c>
      <c r="T196">
        <v>0</v>
      </c>
      <c r="U196">
        <v>0</v>
      </c>
      <c r="V196">
        <v>0</v>
      </c>
      <c r="W196">
        <v>5743046276401140</v>
      </c>
      <c r="X196">
        <v>684098556401239</v>
      </c>
      <c r="Y196">
        <v>6427144832802380</v>
      </c>
      <c r="Z196">
        <v>5649046284723340</v>
      </c>
      <c r="AA196">
        <v>682966737178399</v>
      </c>
      <c r="AB196">
        <v>6332013021901740</v>
      </c>
      <c r="AC196">
        <v>1592497444677490</v>
      </c>
      <c r="AD196">
        <v>84414830584975.5</v>
      </c>
      <c r="AE196">
        <v>1676912275262470</v>
      </c>
      <c r="AF196">
        <v>262858957651836</v>
      </c>
      <c r="AG196">
        <v>1583965048048.99</v>
      </c>
      <c r="AH196">
        <v>264442922699885</v>
      </c>
      <c r="AI196">
        <v>655854213451265</v>
      </c>
      <c r="AJ196">
        <v>80830764240130.797</v>
      </c>
      <c r="AK196">
        <v>736684977691395</v>
      </c>
      <c r="AL196">
        <v>678266674191526</v>
      </c>
      <c r="AM196">
        <v>83395914769671.297</v>
      </c>
      <c r="AN196">
        <v>761662588961197</v>
      </c>
      <c r="AO196">
        <v>4995202988842870</v>
      </c>
      <c r="AP196">
        <v>672201455047276</v>
      </c>
      <c r="AQ196">
        <v>5667404443890140</v>
      </c>
      <c r="AR196"/>
      <c r="AS196">
        <f t="shared" si="30"/>
        <v>5652374309387797</v>
      </c>
      <c r="AT196">
        <f t="shared" si="30"/>
        <v>683452901951833.63</v>
      </c>
      <c r="AU196">
        <f t="shared" si="30"/>
        <v>6335827211339638</v>
      </c>
      <c r="AV196">
        <f t="shared" si="31"/>
        <v>1.0005891303587753</v>
      </c>
      <c r="AW196">
        <f t="shared" si="31"/>
        <v>1.0007118425348842</v>
      </c>
      <c r="AX196">
        <f t="shared" si="31"/>
        <v>1.0006023660129417</v>
      </c>
      <c r="AY196"/>
      <c r="AZ196"/>
      <c r="BA196"/>
      <c r="BB196"/>
      <c r="BC196" s="23"/>
      <c r="BD196"/>
      <c r="BE196"/>
    </row>
    <row r="197" spans="1:57" x14ac:dyDescent="0.3">
      <c r="A197">
        <v>1973</v>
      </c>
      <c r="B197">
        <v>-92267517702302.5</v>
      </c>
      <c r="C197">
        <v>2450707280298.71</v>
      </c>
      <c r="D197">
        <v>-89816810422003.797</v>
      </c>
      <c r="E197">
        <v>254061772961554</v>
      </c>
      <c r="F197">
        <v>7494796415065.6602</v>
      </c>
      <c r="G197">
        <v>261556569376620</v>
      </c>
      <c r="H197">
        <v>806832127510692</v>
      </c>
      <c r="I197">
        <v>1530337030146.4199</v>
      </c>
      <c r="J197">
        <v>808362464540839</v>
      </c>
      <c r="K197">
        <v>2872750085759560</v>
      </c>
      <c r="L197">
        <v>535553221776273</v>
      </c>
      <c r="M197">
        <v>3408303307535830</v>
      </c>
      <c r="N197">
        <v>145774510472614</v>
      </c>
      <c r="O197">
        <v>60571581263393.297</v>
      </c>
      <c r="P197">
        <v>206346091736008</v>
      </c>
      <c r="Q197">
        <v>0</v>
      </c>
      <c r="R197">
        <v>0</v>
      </c>
      <c r="S197">
        <v>0</v>
      </c>
      <c r="T197">
        <v>0</v>
      </c>
      <c r="U197">
        <v>0</v>
      </c>
      <c r="V197">
        <v>0</v>
      </c>
      <c r="W197">
        <v>5978654359548800</v>
      </c>
      <c r="X197">
        <v>687743386542732</v>
      </c>
      <c r="Y197">
        <v>6666397746091530</v>
      </c>
      <c r="Z197">
        <v>6104294699538080</v>
      </c>
      <c r="AA197">
        <v>687076351283039</v>
      </c>
      <c r="AB197">
        <v>6791371050821120</v>
      </c>
      <c r="AC197">
        <v>1638756942875950</v>
      </c>
      <c r="AD197">
        <v>81183346436436</v>
      </c>
      <c r="AE197">
        <v>1719940289312390</v>
      </c>
      <c r="AF197">
        <v>265416321821420</v>
      </c>
      <c r="AG197">
        <v>1692767600664.5901</v>
      </c>
      <c r="AH197">
        <v>267109089422085</v>
      </c>
      <c r="AI197">
        <v>743802417035082</v>
      </c>
      <c r="AJ197">
        <v>78522381309299.797</v>
      </c>
      <c r="AK197">
        <v>822324798344382</v>
      </c>
      <c r="AL197">
        <v>777211338806416</v>
      </c>
      <c r="AM197">
        <v>80312473034323.797</v>
      </c>
      <c r="AN197">
        <v>857523811840740</v>
      </c>
      <c r="AO197">
        <v>5420827595143830</v>
      </c>
      <c r="AP197">
        <v>677487711899094</v>
      </c>
      <c r="AQ197">
        <v>6098315307042920</v>
      </c>
      <c r="AR197"/>
      <c r="AS197">
        <f t="shared" si="30"/>
        <v>6109268200875426</v>
      </c>
      <c r="AT197">
        <f t="shared" si="30"/>
        <v>687365434966704.25</v>
      </c>
      <c r="AU197">
        <f t="shared" si="30"/>
        <v>6796633635842134</v>
      </c>
      <c r="AV197">
        <f t="shared" si="31"/>
        <v>1.0008147544609407</v>
      </c>
      <c r="AW197">
        <f t="shared" si="31"/>
        <v>1.0004207446277629</v>
      </c>
      <c r="AX197">
        <f t="shared" si="31"/>
        <v>1.0007748928723865</v>
      </c>
      <c r="AY197"/>
      <c r="AZ197"/>
      <c r="BA197"/>
      <c r="BB197"/>
      <c r="BC197" s="23"/>
      <c r="BD197"/>
      <c r="BE197"/>
    </row>
    <row r="198" spans="1:57" x14ac:dyDescent="0.3">
      <c r="A198">
        <v>1974</v>
      </c>
      <c r="B198">
        <v>-21994623665217.102</v>
      </c>
      <c r="C198">
        <v>-5141690133879.6904</v>
      </c>
      <c r="D198">
        <v>-27136313799096.801</v>
      </c>
      <c r="E198">
        <v>248604483639999</v>
      </c>
      <c r="F198">
        <v>8086796908563.6396</v>
      </c>
      <c r="G198">
        <v>256691280548562</v>
      </c>
      <c r="H198">
        <v>835722559351070</v>
      </c>
      <c r="I198">
        <v>2162259955526.48</v>
      </c>
      <c r="J198">
        <v>837884819306597</v>
      </c>
      <c r="K198">
        <v>2909023032475090</v>
      </c>
      <c r="L198">
        <v>552144730103516</v>
      </c>
      <c r="M198">
        <v>3461167762578600</v>
      </c>
      <c r="N198">
        <v>149875203356262</v>
      </c>
      <c r="O198">
        <v>63553737736222.5</v>
      </c>
      <c r="P198">
        <v>213428941092485</v>
      </c>
      <c r="Q198">
        <v>0</v>
      </c>
      <c r="R198">
        <v>0</v>
      </c>
      <c r="S198">
        <v>0</v>
      </c>
      <c r="T198">
        <v>0</v>
      </c>
      <c r="U198">
        <v>0</v>
      </c>
      <c r="V198">
        <v>0</v>
      </c>
      <c r="W198">
        <v>5968574398822560</v>
      </c>
      <c r="X198">
        <v>705972624097241</v>
      </c>
      <c r="Y198">
        <v>6674547022919800</v>
      </c>
      <c r="Z198">
        <v>5998702983962000</v>
      </c>
      <c r="AA198">
        <v>714484894180768</v>
      </c>
      <c r="AB198">
        <v>6713187878142770</v>
      </c>
      <c r="AC198">
        <v>1564557719322070</v>
      </c>
      <c r="AD198">
        <v>78837774966873</v>
      </c>
      <c r="AE198">
        <v>1643395494288940</v>
      </c>
      <c r="AF198">
        <v>264360567621134</v>
      </c>
      <c r="AG198">
        <v>1703312366087.5801</v>
      </c>
      <c r="AH198">
        <v>266063879987221</v>
      </c>
      <c r="AI198">
        <v>733554190506916</v>
      </c>
      <c r="AJ198">
        <v>78653558052479.406</v>
      </c>
      <c r="AK198">
        <v>812207748559396</v>
      </c>
      <c r="AL198">
        <v>741737354636856</v>
      </c>
      <c r="AM198">
        <v>82011696546483.406</v>
      </c>
      <c r="AN198">
        <v>823749051183340</v>
      </c>
      <c r="AO198">
        <v>5286979962104470</v>
      </c>
      <c r="AP198">
        <v>703185178602737</v>
      </c>
      <c r="AQ198">
        <v>5990165140707210</v>
      </c>
      <c r="AR198"/>
      <c r="AS198">
        <f t="shared" si="30"/>
        <v>6002321353560782</v>
      </c>
      <c r="AT198">
        <f t="shared" si="30"/>
        <v>714988440664673</v>
      </c>
      <c r="AU198">
        <f t="shared" si="30"/>
        <v>6717309794225446</v>
      </c>
      <c r="AV198">
        <f t="shared" si="31"/>
        <v>1.0006031919914116</v>
      </c>
      <c r="AW198">
        <f t="shared" si="31"/>
        <v>1.0007047685514505</v>
      </c>
      <c r="AX198">
        <f t="shared" si="31"/>
        <v>1.0006140027893597</v>
      </c>
      <c r="AY198"/>
      <c r="AZ198"/>
      <c r="BA198"/>
      <c r="BB198"/>
      <c r="BC198" s="23"/>
      <c r="BD198"/>
      <c r="BE198"/>
    </row>
    <row r="199" spans="1:57" x14ac:dyDescent="0.3">
      <c r="A199">
        <v>1975</v>
      </c>
      <c r="B199">
        <v>-65232202633251.797</v>
      </c>
      <c r="C199">
        <v>-5880153165991.1904</v>
      </c>
      <c r="D199">
        <v>-71112355799243</v>
      </c>
      <c r="E199">
        <v>238370053673456</v>
      </c>
      <c r="F199">
        <v>7815567011824.4199</v>
      </c>
      <c r="G199">
        <v>246185620685280</v>
      </c>
      <c r="H199">
        <v>854851102322300</v>
      </c>
      <c r="I199">
        <v>1532641037950.5601</v>
      </c>
      <c r="J199">
        <v>856383743360250</v>
      </c>
      <c r="K199">
        <v>2984617708282500</v>
      </c>
      <c r="L199">
        <v>560493214897380</v>
      </c>
      <c r="M199">
        <v>3545110923179880</v>
      </c>
      <c r="N199">
        <v>154237513383563</v>
      </c>
      <c r="O199">
        <v>60430642075826.297</v>
      </c>
      <c r="P199">
        <v>214668155459389</v>
      </c>
      <c r="Q199">
        <v>0</v>
      </c>
      <c r="R199">
        <v>0</v>
      </c>
      <c r="S199">
        <v>0</v>
      </c>
      <c r="T199">
        <v>0</v>
      </c>
      <c r="U199">
        <v>0</v>
      </c>
      <c r="V199">
        <v>0</v>
      </c>
      <c r="W199">
        <v>6088427719374530</v>
      </c>
      <c r="X199">
        <v>714754936413281</v>
      </c>
      <c r="Y199">
        <v>6803182655787810</v>
      </c>
      <c r="Z199">
        <v>6165975720546000</v>
      </c>
      <c r="AA199">
        <v>720784457350144</v>
      </c>
      <c r="AB199">
        <v>6886760177896140</v>
      </c>
      <c r="AC199">
        <v>1582036750923300</v>
      </c>
      <c r="AD199">
        <v>83323674850552</v>
      </c>
      <c r="AE199">
        <v>1665360425773860</v>
      </c>
      <c r="AF199">
        <v>277540772218514</v>
      </c>
      <c r="AG199">
        <v>1749254688395.5601</v>
      </c>
      <c r="AH199">
        <v>279290026906910</v>
      </c>
      <c r="AI199">
        <v>752536331614607</v>
      </c>
      <c r="AJ199">
        <v>78891323692580.797</v>
      </c>
      <c r="AK199">
        <v>831427655307188</v>
      </c>
      <c r="AL199">
        <v>764809972668255</v>
      </c>
      <c r="AM199">
        <v>79028163559927.203</v>
      </c>
      <c r="AN199">
        <v>843838136228183</v>
      </c>
      <c r="AO199">
        <v>5431718246062580</v>
      </c>
      <c r="AP199">
        <v>709334839697333</v>
      </c>
      <c r="AQ199">
        <v>6141053085759910</v>
      </c>
      <c r="AR199"/>
      <c r="AS199">
        <f t="shared" si="30"/>
        <v>6169159744490533</v>
      </c>
      <c r="AT199">
        <f t="shared" si="30"/>
        <v>721361987595266.38</v>
      </c>
      <c r="AU199">
        <f t="shared" si="30"/>
        <v>6890521732085807</v>
      </c>
      <c r="AV199">
        <f t="shared" si="31"/>
        <v>1.0005163860658619</v>
      </c>
      <c r="AW199">
        <f t="shared" si="31"/>
        <v>1.0008012523566969</v>
      </c>
      <c r="AX199">
        <f t="shared" si="31"/>
        <v>1.0005462008393642</v>
      </c>
      <c r="AY199"/>
      <c r="AZ199"/>
      <c r="BA199"/>
      <c r="BB199"/>
      <c r="BC199" s="23"/>
      <c r="BD199"/>
      <c r="BE199"/>
    </row>
    <row r="200" spans="1:57" x14ac:dyDescent="0.3">
      <c r="A200">
        <v>1976</v>
      </c>
      <c r="B200">
        <v>-212400614781053</v>
      </c>
      <c r="C200">
        <v>1652026014465.5801</v>
      </c>
      <c r="D200">
        <v>-210748588766587</v>
      </c>
      <c r="E200">
        <v>264906645196634</v>
      </c>
      <c r="F200">
        <v>7918017677620.5801</v>
      </c>
      <c r="G200">
        <v>272824662874255</v>
      </c>
      <c r="H200">
        <v>915958003887892</v>
      </c>
      <c r="I200">
        <v>1509096250799.3999</v>
      </c>
      <c r="J200">
        <v>917467100138692</v>
      </c>
      <c r="K200">
        <v>3023105068546480</v>
      </c>
      <c r="L200">
        <v>576741560018359</v>
      </c>
      <c r="M200">
        <v>3599846628564840</v>
      </c>
      <c r="N200">
        <v>164912545119915</v>
      </c>
      <c r="O200">
        <v>62367505075900.5</v>
      </c>
      <c r="P200">
        <v>227280050195815</v>
      </c>
      <c r="Q200">
        <v>0</v>
      </c>
      <c r="R200">
        <v>0</v>
      </c>
      <c r="S200">
        <v>0</v>
      </c>
      <c r="T200">
        <v>0</v>
      </c>
      <c r="U200">
        <v>0</v>
      </c>
      <c r="V200">
        <v>0</v>
      </c>
      <c r="W200">
        <v>6284905537015020</v>
      </c>
      <c r="X200">
        <v>733481693421736</v>
      </c>
      <c r="Y200">
        <v>7018387230436750</v>
      </c>
      <c r="Z200">
        <v>6506142268000330</v>
      </c>
      <c r="AA200">
        <v>733975054475398</v>
      </c>
      <c r="AB200">
        <v>7240117322475720</v>
      </c>
      <c r="AC200">
        <v>1642024184393310</v>
      </c>
      <c r="AD200">
        <v>83645135851902.906</v>
      </c>
      <c r="AE200">
        <v>1725669320245220</v>
      </c>
      <c r="AF200">
        <v>276984280250200</v>
      </c>
      <c r="AG200">
        <v>1848590658787.25</v>
      </c>
      <c r="AH200">
        <v>278832870908988</v>
      </c>
      <c r="AI200">
        <v>823326983401609</v>
      </c>
      <c r="AJ200">
        <v>84703000287296.703</v>
      </c>
      <c r="AK200">
        <v>908029983688905</v>
      </c>
      <c r="AL200">
        <v>832205065389840</v>
      </c>
      <c r="AM200">
        <v>86854439029400.203</v>
      </c>
      <c r="AN200">
        <v>919059504419240</v>
      </c>
      <c r="AO200">
        <v>5738101533180630</v>
      </c>
      <c r="AP200">
        <v>723576650464989</v>
      </c>
      <c r="AQ200">
        <v>6461678183645610</v>
      </c>
      <c r="AR200"/>
      <c r="AS200">
        <f t="shared" si="30"/>
        <v>6509169424163715</v>
      </c>
      <c r="AT200">
        <f t="shared" si="30"/>
        <v>734529318261007.5</v>
      </c>
      <c r="AU200">
        <f t="shared" si="30"/>
        <v>7243698742424732</v>
      </c>
      <c r="AV200">
        <f t="shared" si="31"/>
        <v>1.0004652766629887</v>
      </c>
      <c r="AW200">
        <f t="shared" si="31"/>
        <v>1.0007551534377495</v>
      </c>
      <c r="AX200">
        <f t="shared" si="31"/>
        <v>1.0004946632477756</v>
      </c>
      <c r="AY200"/>
      <c r="AZ200"/>
      <c r="BA200"/>
      <c r="BB200"/>
      <c r="BC200" s="23"/>
      <c r="BD200"/>
      <c r="BE200"/>
    </row>
    <row r="201" spans="1:57" x14ac:dyDescent="0.3">
      <c r="A201">
        <v>1977</v>
      </c>
      <c r="B201">
        <v>-75928705583340.594</v>
      </c>
      <c r="C201">
        <v>-2950236809092.21</v>
      </c>
      <c r="D201">
        <v>-78878942392432.797</v>
      </c>
      <c r="E201">
        <v>269035285953016</v>
      </c>
      <c r="F201">
        <v>8438616138978.7695</v>
      </c>
      <c r="G201">
        <v>277473902091994</v>
      </c>
      <c r="H201">
        <v>934635314701403</v>
      </c>
      <c r="I201">
        <v>1290195119354.99</v>
      </c>
      <c r="J201">
        <v>935925509820758</v>
      </c>
      <c r="K201">
        <v>3118827551043480</v>
      </c>
      <c r="L201">
        <v>585924385797522</v>
      </c>
      <c r="M201">
        <v>3704751936841000</v>
      </c>
      <c r="N201">
        <v>176644783057467</v>
      </c>
      <c r="O201">
        <v>63019782187477.203</v>
      </c>
      <c r="P201">
        <v>239664565244945</v>
      </c>
      <c r="Q201">
        <v>0</v>
      </c>
      <c r="R201">
        <v>0</v>
      </c>
      <c r="S201">
        <v>0</v>
      </c>
      <c r="T201">
        <v>0</v>
      </c>
      <c r="U201">
        <v>0</v>
      </c>
      <c r="V201">
        <v>0</v>
      </c>
      <c r="W201">
        <v>6515423462879570</v>
      </c>
      <c r="X201">
        <v>748021742455264</v>
      </c>
      <c r="Y201">
        <v>7263445205334840</v>
      </c>
      <c r="Z201">
        <v>6630564489471230</v>
      </c>
      <c r="AA201">
        <v>754961775578310</v>
      </c>
      <c r="AB201">
        <v>7385526265049540</v>
      </c>
      <c r="AC201">
        <v>1739248118935710</v>
      </c>
      <c r="AD201">
        <v>88027657603332.703</v>
      </c>
      <c r="AE201">
        <v>1827275776539050</v>
      </c>
      <c r="AF201">
        <v>281147807700572</v>
      </c>
      <c r="AG201">
        <v>2029833656948.8799</v>
      </c>
      <c r="AH201">
        <v>283177641357521</v>
      </c>
      <c r="AI201">
        <v>827228264860072</v>
      </c>
      <c r="AJ201">
        <v>92357208655747</v>
      </c>
      <c r="AK201">
        <v>919585473515819</v>
      </c>
      <c r="AL201">
        <v>866461685939476</v>
      </c>
      <c r="AM201">
        <v>96334048011076.203</v>
      </c>
      <c r="AN201">
        <v>962795733950553</v>
      </c>
      <c r="AO201">
        <v>5816344876720960</v>
      </c>
      <c r="AP201">
        <v>744261193519657</v>
      </c>
      <c r="AQ201">
        <v>6560606070240620</v>
      </c>
      <c r="AR201"/>
      <c r="AS201">
        <f t="shared" si="30"/>
        <v>6634700988054393</v>
      </c>
      <c r="AT201">
        <f t="shared" si="30"/>
        <v>755657546668036.13</v>
      </c>
      <c r="AU201">
        <f t="shared" si="30"/>
        <v>7390358534722435</v>
      </c>
      <c r="AV201">
        <f t="shared" si="31"/>
        <v>1.0006238531560521</v>
      </c>
      <c r="AW201">
        <f t="shared" si="31"/>
        <v>1.0009215977712158</v>
      </c>
      <c r="AX201">
        <f t="shared" si="31"/>
        <v>1.0006542891460237</v>
      </c>
      <c r="AY201"/>
      <c r="AZ201"/>
      <c r="BA201"/>
      <c r="BB201"/>
      <c r="BC201" s="23"/>
      <c r="BD201"/>
      <c r="BE201"/>
    </row>
    <row r="202" spans="1:57" x14ac:dyDescent="0.3">
      <c r="A202">
        <v>1978</v>
      </c>
      <c r="B202">
        <v>-227507824499135</v>
      </c>
      <c r="C202">
        <v>-911509700524.42798</v>
      </c>
      <c r="D202">
        <v>-228419334199659</v>
      </c>
      <c r="E202">
        <v>282421629232077</v>
      </c>
      <c r="F202">
        <v>8493656141795.6299</v>
      </c>
      <c r="G202">
        <v>290915285373873</v>
      </c>
      <c r="H202">
        <v>979010793844285</v>
      </c>
      <c r="I202">
        <v>1360971401448.8799</v>
      </c>
      <c r="J202">
        <v>980371765245733</v>
      </c>
      <c r="K202">
        <v>3251278185122660</v>
      </c>
      <c r="L202">
        <v>605923919563361</v>
      </c>
      <c r="M202">
        <v>3857202104686030</v>
      </c>
      <c r="N202">
        <v>198205634615070</v>
      </c>
      <c r="O202">
        <v>66317290281559.297</v>
      </c>
      <c r="P202">
        <v>264522924896629</v>
      </c>
      <c r="Q202">
        <v>0</v>
      </c>
      <c r="R202">
        <v>0</v>
      </c>
      <c r="S202">
        <v>0</v>
      </c>
      <c r="T202">
        <v>0</v>
      </c>
      <c r="U202">
        <v>0</v>
      </c>
      <c r="V202">
        <v>0</v>
      </c>
      <c r="W202">
        <v>6833243464038210</v>
      </c>
      <c r="X202">
        <v>773558131978127</v>
      </c>
      <c r="Y202">
        <v>7606801596016340</v>
      </c>
      <c r="Z202">
        <v>7092834097888840</v>
      </c>
      <c r="AA202">
        <v>777591023058408</v>
      </c>
      <c r="AB202">
        <v>7870425120947250</v>
      </c>
      <c r="AC202">
        <v>1845180219653290</v>
      </c>
      <c r="AD202">
        <v>90036652831313.797</v>
      </c>
      <c r="AE202">
        <v>1935216872484600</v>
      </c>
      <c r="AF202">
        <v>280269111046234</v>
      </c>
      <c r="AG202">
        <v>2146860126849.1899</v>
      </c>
      <c r="AH202">
        <v>282415971173083</v>
      </c>
      <c r="AI202">
        <v>921205473738773</v>
      </c>
      <c r="AJ202">
        <v>96994084872475.5</v>
      </c>
      <c r="AK202">
        <v>1018199558611240</v>
      </c>
      <c r="AL202">
        <v>953266542592416</v>
      </c>
      <c r="AM202">
        <v>100110960516313</v>
      </c>
      <c r="AN202">
        <v>1053377503108730</v>
      </c>
      <c r="AO202">
        <v>6234466389413150</v>
      </c>
      <c r="AP202">
        <v>765749752337408</v>
      </c>
      <c r="AQ202">
        <v>7000216141750560</v>
      </c>
      <c r="AR202"/>
      <c r="AS202">
        <f t="shared" si="30"/>
        <v>7095934466866394</v>
      </c>
      <c r="AT202">
        <f t="shared" si="30"/>
        <v>778307735690689.63</v>
      </c>
      <c r="AU202">
        <f t="shared" si="30"/>
        <v>7874242202557097</v>
      </c>
      <c r="AV202">
        <f t="shared" si="31"/>
        <v>1.0004371128571126</v>
      </c>
      <c r="AW202">
        <f t="shared" si="31"/>
        <v>1.0009217089845799</v>
      </c>
      <c r="AX202">
        <f t="shared" si="31"/>
        <v>1.000484990524805</v>
      </c>
      <c r="AY202"/>
      <c r="AZ202"/>
      <c r="BA202"/>
      <c r="BB202"/>
      <c r="BC202" s="23"/>
      <c r="BD202"/>
      <c r="BE202"/>
    </row>
    <row r="203" spans="1:57" x14ac:dyDescent="0.3">
      <c r="A203">
        <v>1979</v>
      </c>
      <c r="B203">
        <v>-64705090932344.102</v>
      </c>
      <c r="C203">
        <v>2697348982272.0298</v>
      </c>
      <c r="D203">
        <v>-62007741950072.102</v>
      </c>
      <c r="E203">
        <v>282742095683126</v>
      </c>
      <c r="F203">
        <v>8907993857641.3691</v>
      </c>
      <c r="G203">
        <v>291650089540767</v>
      </c>
      <c r="H203">
        <v>997786341797607</v>
      </c>
      <c r="I203">
        <v>1604944317881.4199</v>
      </c>
      <c r="J203">
        <v>999391286115488</v>
      </c>
      <c r="K203">
        <v>3295494943781320</v>
      </c>
      <c r="L203">
        <v>628118931213029</v>
      </c>
      <c r="M203">
        <v>3923613874994350</v>
      </c>
      <c r="N203">
        <v>190504955240477</v>
      </c>
      <c r="O203">
        <v>67578907418521.898</v>
      </c>
      <c r="P203">
        <v>258083862658999</v>
      </c>
      <c r="Q203">
        <v>0</v>
      </c>
      <c r="R203">
        <v>0</v>
      </c>
      <c r="S203">
        <v>0</v>
      </c>
      <c r="T203">
        <v>0</v>
      </c>
      <c r="U203">
        <v>0</v>
      </c>
      <c r="V203">
        <v>0</v>
      </c>
      <c r="W203">
        <v>6946381795477000</v>
      </c>
      <c r="X203">
        <v>798976230834293</v>
      </c>
      <c r="Y203">
        <v>7745358026311290</v>
      </c>
      <c r="Z203">
        <v>7009895174747340</v>
      </c>
      <c r="AA203">
        <v>799954661399699</v>
      </c>
      <c r="AB203">
        <v>7809849836147040</v>
      </c>
      <c r="AC203">
        <v>1903382688460800</v>
      </c>
      <c r="AD203">
        <v>91010724098948</v>
      </c>
      <c r="AE203">
        <v>1994393412559750</v>
      </c>
      <c r="AF203">
        <v>280732275771621</v>
      </c>
      <c r="AG203">
        <v>2285342233484.1299</v>
      </c>
      <c r="AH203">
        <v>283017618005105</v>
      </c>
      <c r="AI203">
        <v>993010471995050</v>
      </c>
      <c r="AJ203">
        <v>103823875574084</v>
      </c>
      <c r="AK203">
        <v>1096834347569130</v>
      </c>
      <c r="AL203">
        <v>991850872458477</v>
      </c>
      <c r="AM203">
        <v>107488390161273</v>
      </c>
      <c r="AN203">
        <v>1099339262619750</v>
      </c>
      <c r="AO203">
        <v>6159427508264950</v>
      </c>
      <c r="AP203">
        <v>787608652778905</v>
      </c>
      <c r="AQ203">
        <v>6947036161043850</v>
      </c>
      <c r="AR203"/>
      <c r="AS203">
        <f t="shared" si="30"/>
        <v>7014188792130722</v>
      </c>
      <c r="AT203">
        <f t="shared" si="30"/>
        <v>800474008744422.75</v>
      </c>
      <c r="AU203">
        <f t="shared" si="30"/>
        <v>7814662800875151</v>
      </c>
      <c r="AV203">
        <f t="shared" si="31"/>
        <v>1.0006125080727097</v>
      </c>
      <c r="AW203">
        <f t="shared" si="31"/>
        <v>1.0006492209743676</v>
      </c>
      <c r="AX203">
        <f t="shared" si="31"/>
        <v>1.0006162685364108</v>
      </c>
      <c r="AY203"/>
      <c r="AZ203"/>
      <c r="BA203"/>
      <c r="BB203"/>
      <c r="BC203" s="23"/>
      <c r="BD203"/>
      <c r="BE203"/>
    </row>
    <row r="204" spans="1:57" x14ac:dyDescent="0.3">
      <c r="A204">
        <v>1980</v>
      </c>
      <c r="B204">
        <v>91888209497302.594</v>
      </c>
      <c r="C204">
        <v>-177404108053.26099</v>
      </c>
      <c r="D204">
        <v>91710805389249.297</v>
      </c>
      <c r="E204">
        <v>297850759012353</v>
      </c>
      <c r="F204">
        <v>9196400901935.7305</v>
      </c>
      <c r="G204">
        <v>307047159914289</v>
      </c>
      <c r="H204">
        <v>1021760440699090</v>
      </c>
      <c r="I204">
        <v>1322687302566.9399</v>
      </c>
      <c r="J204">
        <v>1023083128001650</v>
      </c>
      <c r="K204">
        <v>3364311444901960</v>
      </c>
      <c r="L204">
        <v>643582556556333</v>
      </c>
      <c r="M204">
        <v>4007894001458290</v>
      </c>
      <c r="N204">
        <v>219905734062028</v>
      </c>
      <c r="O204">
        <v>67574871274508.898</v>
      </c>
      <c r="P204">
        <v>287480605336537</v>
      </c>
      <c r="Q204">
        <v>0</v>
      </c>
      <c r="R204">
        <v>0</v>
      </c>
      <c r="S204">
        <v>0</v>
      </c>
      <c r="T204">
        <v>0</v>
      </c>
      <c r="U204">
        <v>0</v>
      </c>
      <c r="V204">
        <v>0</v>
      </c>
      <c r="W204">
        <v>7058240003097190</v>
      </c>
      <c r="X204">
        <v>812736368209345</v>
      </c>
      <c r="Y204">
        <v>7870976371306540</v>
      </c>
      <c r="Z204">
        <v>6993146166572760</v>
      </c>
      <c r="AA204">
        <v>816125501886722</v>
      </c>
      <c r="AB204">
        <v>7809271668459480</v>
      </c>
      <c r="AC204">
        <v>1876902280223920</v>
      </c>
      <c r="AD204">
        <v>88934700791981.297</v>
      </c>
      <c r="AE204">
        <v>1965836981015900</v>
      </c>
      <c r="AF204">
        <v>281311032326444</v>
      </c>
      <c r="AG204">
        <v>2537862147117.0898</v>
      </c>
      <c r="AH204">
        <v>283848894473561</v>
      </c>
      <c r="AI204">
        <v>1066974445977150</v>
      </c>
      <c r="AJ204">
        <v>107680040027716</v>
      </c>
      <c r="AK204">
        <v>1174654486004870</v>
      </c>
      <c r="AL204">
        <v>1093762809024790</v>
      </c>
      <c r="AM204">
        <v>110899860543203</v>
      </c>
      <c r="AN204">
        <v>1204662669568000</v>
      </c>
      <c r="AO204">
        <v>6095646521710420</v>
      </c>
      <c r="AP204">
        <v>803809663592778</v>
      </c>
      <c r="AQ204">
        <v>6899456185303190</v>
      </c>
      <c r="AR204"/>
      <c r="AS204">
        <f t="shared" si="30"/>
        <v>6996941844776132</v>
      </c>
      <c r="AT204">
        <f t="shared" si="30"/>
        <v>816546303597983.25</v>
      </c>
      <c r="AU204">
        <f t="shared" si="30"/>
        <v>7813488148374109</v>
      </c>
      <c r="AV204">
        <f t="shared" si="31"/>
        <v>1.0005427711809478</v>
      </c>
      <c r="AW204">
        <f t="shared" si="31"/>
        <v>1.000515609070282</v>
      </c>
      <c r="AX204">
        <f t="shared" si="31"/>
        <v>1.0005399325434738</v>
      </c>
      <c r="AY204"/>
      <c r="AZ204"/>
      <c r="BA204"/>
      <c r="BB204"/>
      <c r="BC204" s="23"/>
      <c r="BD204"/>
      <c r="BE204"/>
    </row>
    <row r="205" spans="1:57" x14ac:dyDescent="0.3">
      <c r="A205">
        <v>1981</v>
      </c>
      <c r="B205">
        <v>-146750320815573</v>
      </c>
      <c r="C205">
        <v>-5313303378393.8301</v>
      </c>
      <c r="D205">
        <v>-152063624193967</v>
      </c>
      <c r="E205">
        <v>284760669948037</v>
      </c>
      <c r="F205">
        <v>9740398226015.6309</v>
      </c>
      <c r="G205">
        <v>294501068174053</v>
      </c>
      <c r="H205">
        <v>1067350182037390</v>
      </c>
      <c r="I205">
        <v>1129461245057.6101</v>
      </c>
      <c r="J205">
        <v>1068479643282450</v>
      </c>
      <c r="K205">
        <v>3442331358371620</v>
      </c>
      <c r="L205">
        <v>651256108785775</v>
      </c>
      <c r="M205">
        <v>4093587467157400</v>
      </c>
      <c r="N205">
        <v>239798993047452</v>
      </c>
      <c r="O205">
        <v>65991313100659</v>
      </c>
      <c r="P205">
        <v>305790306148111</v>
      </c>
      <c r="Q205">
        <v>0</v>
      </c>
      <c r="R205">
        <v>0</v>
      </c>
      <c r="S205">
        <v>0</v>
      </c>
      <c r="T205">
        <v>0</v>
      </c>
      <c r="U205">
        <v>0</v>
      </c>
      <c r="V205">
        <v>0</v>
      </c>
      <c r="W205">
        <v>7210584180120010</v>
      </c>
      <c r="X205">
        <v>817304994090595</v>
      </c>
      <c r="Y205">
        <v>8027889174210600</v>
      </c>
      <c r="Z205">
        <v>7385124072621090</v>
      </c>
      <c r="AA205">
        <v>824749307658768</v>
      </c>
      <c r="AB205">
        <v>8209873380279860</v>
      </c>
      <c r="AC205">
        <v>1897502138518700</v>
      </c>
      <c r="AD205">
        <v>87367321514099.906</v>
      </c>
      <c r="AE205">
        <v>1984869460032800</v>
      </c>
      <c r="AF205">
        <v>283264415200416</v>
      </c>
      <c r="AG205">
        <v>2428813502358.9702</v>
      </c>
      <c r="AH205">
        <v>285693228702775</v>
      </c>
      <c r="AI205">
        <v>1119303489226470</v>
      </c>
      <c r="AJ205">
        <v>109458592286355</v>
      </c>
      <c r="AK205">
        <v>1228762081512830</v>
      </c>
      <c r="AL205">
        <v>1147086017691720</v>
      </c>
      <c r="AM205">
        <v>111596706167795</v>
      </c>
      <c r="AN205">
        <v>1258682723859520</v>
      </c>
      <c r="AO205">
        <v>6442660435996450</v>
      </c>
      <c r="AP205">
        <v>812995699239897</v>
      </c>
      <c r="AQ205">
        <v>7255656135236350</v>
      </c>
      <c r="AR205"/>
      <c r="AS205">
        <f t="shared" si="30"/>
        <v>7389540606404438</v>
      </c>
      <c r="AT205">
        <f t="shared" si="30"/>
        <v>825364833633800</v>
      </c>
      <c r="AU205">
        <f t="shared" si="30"/>
        <v>8214905440038246</v>
      </c>
      <c r="AV205">
        <f t="shared" si="31"/>
        <v>1.0005980310878895</v>
      </c>
      <c r="AW205">
        <f t="shared" si="31"/>
        <v>1.0007463188744945</v>
      </c>
      <c r="AX205">
        <f t="shared" si="31"/>
        <v>1.000612927815729</v>
      </c>
      <c r="AY205"/>
      <c r="AZ205"/>
      <c r="BA205"/>
      <c r="BB205"/>
      <c r="BC205" s="23"/>
      <c r="BD205"/>
      <c r="BE205"/>
    </row>
    <row r="206" spans="1:57" x14ac:dyDescent="0.3">
      <c r="A206">
        <v>1982</v>
      </c>
      <c r="B206">
        <v>-212535372943085</v>
      </c>
      <c r="C206">
        <v>-4913791559459.0898</v>
      </c>
      <c r="D206">
        <v>-217449164502544</v>
      </c>
      <c r="E206">
        <v>301584392312638</v>
      </c>
      <c r="F206">
        <v>10745775213239.6</v>
      </c>
      <c r="G206">
        <v>312330167525878</v>
      </c>
      <c r="H206">
        <v>1126402401616940</v>
      </c>
      <c r="I206">
        <v>1442322000725.8501</v>
      </c>
      <c r="J206">
        <v>1127844723617670</v>
      </c>
      <c r="K206">
        <v>3554496257426290</v>
      </c>
      <c r="L206">
        <v>658170278820947</v>
      </c>
      <c r="M206">
        <v>4212666536247230</v>
      </c>
      <c r="N206">
        <v>274776856635753</v>
      </c>
      <c r="O206">
        <v>67119523702797.703</v>
      </c>
      <c r="P206">
        <v>341896380338551</v>
      </c>
      <c r="Q206">
        <v>0</v>
      </c>
      <c r="R206">
        <v>0</v>
      </c>
      <c r="S206">
        <v>0</v>
      </c>
      <c r="T206">
        <v>0</v>
      </c>
      <c r="U206">
        <v>0</v>
      </c>
      <c r="V206">
        <v>0</v>
      </c>
      <c r="W206">
        <v>7490735249901890</v>
      </c>
      <c r="X206">
        <v>831750479336201</v>
      </c>
      <c r="Y206">
        <v>8322485729238100</v>
      </c>
      <c r="Z206">
        <v>7707762926266210</v>
      </c>
      <c r="AA206">
        <v>837648547890403</v>
      </c>
      <c r="AB206">
        <v>8545411474156610</v>
      </c>
      <c r="AC206">
        <v>1956529989671000</v>
      </c>
      <c r="AD206">
        <v>92223679178447.906</v>
      </c>
      <c r="AE206">
        <v>2048753668849440</v>
      </c>
      <c r="AF206">
        <v>280190429361070</v>
      </c>
      <c r="AG206">
        <v>2485138941332.3398</v>
      </c>
      <c r="AH206">
        <v>282675568302402</v>
      </c>
      <c r="AI206">
        <v>1122680036380340</v>
      </c>
      <c r="AJ206">
        <v>111604109027225</v>
      </c>
      <c r="AK206">
        <v>1234284145407570</v>
      </c>
      <c r="AL206">
        <v>1127150798370170</v>
      </c>
      <c r="AM206">
        <v>112589671583584</v>
      </c>
      <c r="AN206">
        <v>1239740469953760</v>
      </c>
      <c r="AO206">
        <v>6696141850766210</v>
      </c>
      <c r="AP206">
        <v>824397904243824</v>
      </c>
      <c r="AQ206">
        <v>7520539755010040</v>
      </c>
      <c r="AR206"/>
      <c r="AS206">
        <f t="shared" si="30"/>
        <v>7710986461956606</v>
      </c>
      <c r="AT206">
        <f t="shared" si="30"/>
        <v>838086071973308.63</v>
      </c>
      <c r="AU206">
        <f t="shared" si="30"/>
        <v>8549072533929906</v>
      </c>
      <c r="AV206">
        <f t="shared" si="31"/>
        <v>1.0004182193616011</v>
      </c>
      <c r="AW206">
        <f t="shared" si="31"/>
        <v>1.0005223241704502</v>
      </c>
      <c r="AX206">
        <f t="shared" si="31"/>
        <v>1.0004284240477324</v>
      </c>
      <c r="AY206"/>
      <c r="AZ206"/>
      <c r="BA206"/>
      <c r="BB206"/>
      <c r="BC206" s="23"/>
      <c r="BD206"/>
      <c r="BE206"/>
    </row>
    <row r="207" spans="1:57" x14ac:dyDescent="0.3">
      <c r="A207">
        <v>1983</v>
      </c>
      <c r="B207">
        <v>215396799813936</v>
      </c>
      <c r="C207">
        <v>-5126869639777.1797</v>
      </c>
      <c r="D207">
        <v>210269930174158</v>
      </c>
      <c r="E207">
        <v>307429548774310</v>
      </c>
      <c r="F207">
        <v>10390075878349</v>
      </c>
      <c r="G207">
        <v>317819624652659</v>
      </c>
      <c r="H207">
        <v>1125292198075950</v>
      </c>
      <c r="I207">
        <v>1395205922070.24</v>
      </c>
      <c r="J207">
        <v>1126687403998020</v>
      </c>
      <c r="K207">
        <v>3681198777155670</v>
      </c>
      <c r="L207">
        <v>679341597071056</v>
      </c>
      <c r="M207">
        <v>4360540374226730</v>
      </c>
      <c r="N207">
        <v>294746554095109</v>
      </c>
      <c r="O207">
        <v>68752841232890.203</v>
      </c>
      <c r="P207">
        <v>363499395328000</v>
      </c>
      <c r="Q207">
        <v>0</v>
      </c>
      <c r="R207">
        <v>0</v>
      </c>
      <c r="S207">
        <v>0</v>
      </c>
      <c r="T207">
        <v>0</v>
      </c>
      <c r="U207">
        <v>0</v>
      </c>
      <c r="V207">
        <v>0</v>
      </c>
      <c r="W207">
        <v>7623990324130490</v>
      </c>
      <c r="X207">
        <v>858750416296140</v>
      </c>
      <c r="Y207">
        <v>8482740740426630</v>
      </c>
      <c r="Z207">
        <v>7448417955395800</v>
      </c>
      <c r="AA207">
        <v>865459255189076</v>
      </c>
      <c r="AB207">
        <v>8313877210584880</v>
      </c>
      <c r="AC207">
        <v>1931803067981420</v>
      </c>
      <c r="AD207">
        <v>96742723868187.5</v>
      </c>
      <c r="AE207">
        <v>2028545791849600</v>
      </c>
      <c r="AF207">
        <v>286572367874031</v>
      </c>
      <c r="AG207">
        <v>2484860836342.27</v>
      </c>
      <c r="AH207">
        <v>289057228710374</v>
      </c>
      <c r="AI207">
        <v>1092509079204520</v>
      </c>
      <c r="AJ207">
        <v>112042039234158</v>
      </c>
      <c r="AK207">
        <v>1204551118438680</v>
      </c>
      <c r="AL207">
        <v>1132332595346910</v>
      </c>
      <c r="AM207">
        <v>113594053234111</v>
      </c>
      <c r="AN207">
        <v>1245926648581020</v>
      </c>
      <c r="AO207">
        <v>6430376108866550</v>
      </c>
      <c r="AP207">
        <v>853996818483357</v>
      </c>
      <c r="AQ207">
        <v>7284372927349910</v>
      </c>
      <c r="AR207"/>
      <c r="AS207">
        <f t="shared" si="30"/>
        <v>7451469230284944</v>
      </c>
      <c r="AT207">
        <f t="shared" si="30"/>
        <v>865786188448625.38</v>
      </c>
      <c r="AU207">
        <f t="shared" si="30"/>
        <v>8317255418733566</v>
      </c>
      <c r="AV207">
        <f t="shared" si="31"/>
        <v>1.0004096540913006</v>
      </c>
      <c r="AW207">
        <f t="shared" si="31"/>
        <v>1.0003777569626637</v>
      </c>
      <c r="AX207">
        <f t="shared" si="31"/>
        <v>1.0004063336591482</v>
      </c>
      <c r="AY207"/>
      <c r="AZ207"/>
      <c r="BA207"/>
      <c r="BB207"/>
      <c r="BC207" s="23"/>
      <c r="BD207"/>
      <c r="BE207"/>
    </row>
    <row r="208" spans="1:57" x14ac:dyDescent="0.3">
      <c r="A208">
        <v>1984</v>
      </c>
      <c r="B208">
        <v>-197225839357382</v>
      </c>
      <c r="C208">
        <v>2470244409743.4199</v>
      </c>
      <c r="D208">
        <v>-194755594947638</v>
      </c>
      <c r="E208">
        <v>319752753305420</v>
      </c>
      <c r="F208">
        <v>10504343153836.1</v>
      </c>
      <c r="G208">
        <v>330257096459256</v>
      </c>
      <c r="H208">
        <v>1133320964482170</v>
      </c>
      <c r="I208">
        <v>1910335903075.8301</v>
      </c>
      <c r="J208">
        <v>1135231300385240</v>
      </c>
      <c r="K208">
        <v>3754605513020910</v>
      </c>
      <c r="L208">
        <v>698518825388220</v>
      </c>
      <c r="M208">
        <v>4453124338409130</v>
      </c>
      <c r="N208">
        <v>308817168966652</v>
      </c>
      <c r="O208">
        <v>75256965210833.297</v>
      </c>
      <c r="P208">
        <v>384074134177485</v>
      </c>
      <c r="Q208">
        <v>0</v>
      </c>
      <c r="R208">
        <v>0</v>
      </c>
      <c r="S208">
        <v>0</v>
      </c>
      <c r="T208">
        <v>0</v>
      </c>
      <c r="U208">
        <v>0</v>
      </c>
      <c r="V208">
        <v>0</v>
      </c>
      <c r="W208">
        <v>7837187541828360</v>
      </c>
      <c r="X208">
        <v>888430314208245</v>
      </c>
      <c r="Y208">
        <v>8725617856036610</v>
      </c>
      <c r="Z208">
        <v>8067491198254870</v>
      </c>
      <c r="AA208">
        <v>889544964198172</v>
      </c>
      <c r="AB208">
        <v>8957036162453040</v>
      </c>
      <c r="AC208">
        <v>2040379781449090</v>
      </c>
      <c r="AD208">
        <v>100041331204017</v>
      </c>
      <c r="AE208">
        <v>2140421112653110</v>
      </c>
      <c r="AF208">
        <v>285682132269600</v>
      </c>
      <c r="AG208">
        <v>2605337403210.0801</v>
      </c>
      <c r="AH208">
        <v>288287469672810</v>
      </c>
      <c r="AI208">
        <v>1140014571777540</v>
      </c>
      <c r="AJ208">
        <v>119014842793179</v>
      </c>
      <c r="AK208">
        <v>1259029414570720</v>
      </c>
      <c r="AL208">
        <v>1173112280704550</v>
      </c>
      <c r="AM208">
        <v>122596137284753</v>
      </c>
      <c r="AN208">
        <v>1295708417989300</v>
      </c>
      <c r="AO208">
        <v>7027106706535490</v>
      </c>
      <c r="AP208">
        <v>874243687885219</v>
      </c>
      <c r="AQ208">
        <v>7901350394420710</v>
      </c>
      <c r="AR208"/>
      <c r="AS208">
        <f t="shared" si="30"/>
        <v>8072881861778234</v>
      </c>
      <c r="AT208">
        <f t="shared" si="30"/>
        <v>889948188345023</v>
      </c>
      <c r="AU208">
        <f t="shared" si="30"/>
        <v>8962830050123250</v>
      </c>
      <c r="AV208">
        <f t="shared" si="31"/>
        <v>1.0006681957737407</v>
      </c>
      <c r="AW208">
        <f t="shared" si="31"/>
        <v>1.0004532925968666</v>
      </c>
      <c r="AX208">
        <f t="shared" si="31"/>
        <v>1.0006468532185342</v>
      </c>
      <c r="AY208"/>
      <c r="AZ208"/>
      <c r="BA208"/>
      <c r="BB208"/>
      <c r="BC208" s="23"/>
      <c r="BD208"/>
      <c r="BE208"/>
    </row>
    <row r="209" spans="1:57" x14ac:dyDescent="0.3">
      <c r="A209">
        <v>1985</v>
      </c>
      <c r="B209">
        <v>-279077985111590</v>
      </c>
      <c r="C209">
        <v>1032285195557.26</v>
      </c>
      <c r="D209">
        <v>-278045699916033</v>
      </c>
      <c r="E209">
        <v>324513669218606</v>
      </c>
      <c r="F209">
        <v>11029894728143.9</v>
      </c>
      <c r="G209">
        <v>335543563946750</v>
      </c>
      <c r="H209">
        <v>1150718836096170</v>
      </c>
      <c r="I209">
        <v>1648421733611.5601</v>
      </c>
      <c r="J209">
        <v>1152367257829780</v>
      </c>
      <c r="K209">
        <v>3814551953837100</v>
      </c>
      <c r="L209">
        <v>725392831755101</v>
      </c>
      <c r="M209">
        <v>4539944785592200</v>
      </c>
      <c r="N209">
        <v>324693915653831</v>
      </c>
      <c r="O209">
        <v>73829210889560.5</v>
      </c>
      <c r="P209">
        <v>398523126543391</v>
      </c>
      <c r="Q209">
        <v>0</v>
      </c>
      <c r="R209">
        <v>0</v>
      </c>
      <c r="S209">
        <v>0</v>
      </c>
      <c r="T209">
        <v>0</v>
      </c>
      <c r="U209">
        <v>0</v>
      </c>
      <c r="V209">
        <v>0</v>
      </c>
      <c r="W209">
        <v>7926805576147400</v>
      </c>
      <c r="X209">
        <v>912088999825881</v>
      </c>
      <c r="Y209">
        <v>8838894575973280</v>
      </c>
      <c r="Z209">
        <v>8235355538282250</v>
      </c>
      <c r="AA209">
        <v>910928196360997</v>
      </c>
      <c r="AB209">
        <v>9146283734643250</v>
      </c>
      <c r="AC209">
        <v>2032379141095420</v>
      </c>
      <c r="AD209">
        <v>98089414941757.594</v>
      </c>
      <c r="AE209">
        <v>2130468556037180</v>
      </c>
      <c r="AF209">
        <v>286165724968190</v>
      </c>
      <c r="AG209">
        <v>2740890803723.1299</v>
      </c>
      <c r="AH209">
        <v>288906615771913</v>
      </c>
      <c r="AI209">
        <v>1136882601901820</v>
      </c>
      <c r="AJ209">
        <v>125672861846025</v>
      </c>
      <c r="AK209">
        <v>1262555463747840</v>
      </c>
      <c r="AL209">
        <v>1166349584782180</v>
      </c>
      <c r="AM209">
        <v>125553444701307</v>
      </c>
      <c r="AN209">
        <v>1291903029483490</v>
      </c>
      <c r="AO209">
        <v>7169354122322880</v>
      </c>
      <c r="AP209">
        <v>895946362969099</v>
      </c>
      <c r="AQ209">
        <v>8065300485291980</v>
      </c>
      <c r="AR209"/>
      <c r="AS209">
        <f t="shared" si="30"/>
        <v>8241568208861266</v>
      </c>
      <c r="AT209">
        <f t="shared" si="30"/>
        <v>911578962511622.38</v>
      </c>
      <c r="AU209">
        <f t="shared" si="30"/>
        <v>9153147171372896</v>
      </c>
      <c r="AV209">
        <f t="shared" si="31"/>
        <v>1.000754390086759</v>
      </c>
      <c r="AW209">
        <f t="shared" si="31"/>
        <v>1.0007143989539735</v>
      </c>
      <c r="AX209">
        <f t="shared" si="31"/>
        <v>1.0007504071521036</v>
      </c>
      <c r="AY209"/>
      <c r="AZ209"/>
      <c r="BA209"/>
      <c r="BB209"/>
      <c r="BC209" s="23"/>
      <c r="BD209"/>
      <c r="BE209"/>
    </row>
    <row r="210" spans="1:57" x14ac:dyDescent="0.3">
      <c r="A210">
        <v>1986</v>
      </c>
      <c r="B210">
        <v>-141892117062936</v>
      </c>
      <c r="C210">
        <v>-4923430061291.5195</v>
      </c>
      <c r="D210">
        <v>-146815547124227</v>
      </c>
      <c r="E210">
        <v>331834887369682</v>
      </c>
      <c r="F210">
        <v>11902403842264</v>
      </c>
      <c r="G210">
        <v>343737291211946</v>
      </c>
      <c r="H210">
        <v>1167590846457930</v>
      </c>
      <c r="I210">
        <v>1210559829539.27</v>
      </c>
      <c r="J210">
        <v>1168801406287470</v>
      </c>
      <c r="K210">
        <v>3891702157983090</v>
      </c>
      <c r="L210">
        <v>735082694373777</v>
      </c>
      <c r="M210">
        <v>4626784852356860</v>
      </c>
      <c r="N210">
        <v>305964342509765</v>
      </c>
      <c r="O210">
        <v>77202058383177.406</v>
      </c>
      <c r="P210">
        <v>383166400892943</v>
      </c>
      <c r="Q210">
        <v>0</v>
      </c>
      <c r="R210">
        <v>0</v>
      </c>
      <c r="S210">
        <v>0</v>
      </c>
      <c r="T210">
        <v>0</v>
      </c>
      <c r="U210">
        <v>0</v>
      </c>
      <c r="V210">
        <v>0</v>
      </c>
      <c r="W210">
        <v>8079440548678140</v>
      </c>
      <c r="X210">
        <v>928849125326082</v>
      </c>
      <c r="Y210">
        <v>9008289674004220</v>
      </c>
      <c r="Z210">
        <v>8263045420201750</v>
      </c>
      <c r="AA210">
        <v>934811419383506</v>
      </c>
      <c r="AB210">
        <v>9197856839585250</v>
      </c>
      <c r="AC210">
        <v>2105254338624420</v>
      </c>
      <c r="AD210">
        <v>101042721337344</v>
      </c>
      <c r="AE210">
        <v>2206297059961760</v>
      </c>
      <c r="AF210">
        <v>281606556677359</v>
      </c>
      <c r="AG210">
        <v>2900201938313.1001</v>
      </c>
      <c r="AH210">
        <v>284506758615672</v>
      </c>
      <c r="AI210">
        <v>1085819659039400</v>
      </c>
      <c r="AJ210">
        <v>127007139170826</v>
      </c>
      <c r="AK210">
        <v>1212826798210230</v>
      </c>
      <c r="AL210">
        <v>1127551550750430</v>
      </c>
      <c r="AM210">
        <v>128041255341640</v>
      </c>
      <c r="AN210">
        <v>1255592806092070</v>
      </c>
      <c r="AO210">
        <v>7209181898474700</v>
      </c>
      <c r="AP210">
        <v>918010259164423</v>
      </c>
      <c r="AQ210">
        <v>8127192157639120</v>
      </c>
      <c r="AR210"/>
      <c r="AS210">
        <f t="shared" si="30"/>
        <v>8267577138396212</v>
      </c>
      <c r="AT210">
        <f t="shared" si="30"/>
        <v>935298185936520.25</v>
      </c>
      <c r="AU210">
        <f t="shared" si="30"/>
        <v>9202875324332718</v>
      </c>
      <c r="AV210">
        <f t="shared" si="31"/>
        <v>1.0005484319598901</v>
      </c>
      <c r="AW210">
        <f t="shared" si="31"/>
        <v>1.0005207109615062</v>
      </c>
      <c r="AX210">
        <f t="shared" si="31"/>
        <v>1.0005456145746767</v>
      </c>
      <c r="AY210"/>
      <c r="AZ210"/>
      <c r="BA210"/>
      <c r="BB210"/>
      <c r="BC210" s="23"/>
      <c r="BD210"/>
      <c r="BE210"/>
    </row>
    <row r="211" spans="1:57" x14ac:dyDescent="0.3">
      <c r="A211">
        <v>1987</v>
      </c>
      <c r="B211">
        <v>140125392789893</v>
      </c>
      <c r="C211">
        <v>8365684880655.1797</v>
      </c>
      <c r="D211">
        <v>148491077670548</v>
      </c>
      <c r="E211">
        <v>353676532541406</v>
      </c>
      <c r="F211">
        <v>11697741117621.4</v>
      </c>
      <c r="G211">
        <v>365374273659028</v>
      </c>
      <c r="H211">
        <v>1216736771576000</v>
      </c>
      <c r="I211">
        <v>1787344022326.05</v>
      </c>
      <c r="J211">
        <v>1218524115598330</v>
      </c>
      <c r="K211">
        <v>3984422456128070</v>
      </c>
      <c r="L211">
        <v>754454823972003</v>
      </c>
      <c r="M211">
        <v>4738877280100080</v>
      </c>
      <c r="N211">
        <v>353254548465067</v>
      </c>
      <c r="O211">
        <v>80749693445773.594</v>
      </c>
      <c r="P211">
        <v>434004241910840</v>
      </c>
      <c r="Q211">
        <v>0</v>
      </c>
      <c r="R211">
        <v>0</v>
      </c>
      <c r="S211">
        <v>0</v>
      </c>
      <c r="T211">
        <v>0</v>
      </c>
      <c r="U211">
        <v>0</v>
      </c>
      <c r="V211">
        <v>0</v>
      </c>
      <c r="W211">
        <v>8315294660858410</v>
      </c>
      <c r="X211">
        <v>955174625678322</v>
      </c>
      <c r="Y211">
        <v>9270469286536740</v>
      </c>
      <c r="Z211">
        <v>8206733042623650</v>
      </c>
      <c r="AA211">
        <v>947509754031407</v>
      </c>
      <c r="AB211">
        <v>9154242796655060</v>
      </c>
      <c r="AC211">
        <v>2128522054310010</v>
      </c>
      <c r="AD211">
        <v>103916598557478</v>
      </c>
      <c r="AE211">
        <v>2232438652867490</v>
      </c>
      <c r="AF211">
        <v>281544068737535</v>
      </c>
      <c r="AG211">
        <v>3087035434761.6499</v>
      </c>
      <c r="AH211">
        <v>284631104172296</v>
      </c>
      <c r="AI211">
        <v>1173658073496800</v>
      </c>
      <c r="AJ211">
        <v>131508950040103</v>
      </c>
      <c r="AK211">
        <v>1305167023536910</v>
      </c>
      <c r="AL211">
        <v>1205250336338850</v>
      </c>
      <c r="AM211">
        <v>132193150744440</v>
      </c>
      <c r="AN211">
        <v>1337443487083290</v>
      </c>
      <c r="AO211">
        <v>7118719327938430</v>
      </c>
      <c r="AP211">
        <v>932843953701268</v>
      </c>
      <c r="AQ211">
        <v>8051563281639700</v>
      </c>
      <c r="AR211"/>
      <c r="AS211">
        <f t="shared" si="30"/>
        <v>8209623301810244</v>
      </c>
      <c r="AT211">
        <f t="shared" si="30"/>
        <v>948011752373645.5</v>
      </c>
      <c r="AU211">
        <f t="shared" si="30"/>
        <v>9157635054183896</v>
      </c>
      <c r="AV211">
        <f t="shared" si="31"/>
        <v>1.0003521814553469</v>
      </c>
      <c r="AW211">
        <f t="shared" si="31"/>
        <v>1.0005298080997083</v>
      </c>
      <c r="AX211">
        <f t="shared" si="31"/>
        <v>1.0003705666983265</v>
      </c>
      <c r="AY211"/>
      <c r="AZ211"/>
      <c r="BA211"/>
      <c r="BB211"/>
      <c r="BC211" s="23"/>
      <c r="BD211"/>
      <c r="BE211"/>
    </row>
    <row r="212" spans="1:57" x14ac:dyDescent="0.3">
      <c r="A212">
        <v>1988</v>
      </c>
      <c r="B212">
        <v>272707731174806</v>
      </c>
      <c r="C212">
        <v>5405710867851.04</v>
      </c>
      <c r="D212">
        <v>278113442042657</v>
      </c>
      <c r="E212">
        <v>341528020909668</v>
      </c>
      <c r="F212">
        <v>12275235844624.699</v>
      </c>
      <c r="G212">
        <v>353803256754293</v>
      </c>
      <c r="H212">
        <v>1240112379655230</v>
      </c>
      <c r="I212">
        <v>1686142611849.25</v>
      </c>
      <c r="J212">
        <v>1241798522267080</v>
      </c>
      <c r="K212">
        <v>4083500447455640</v>
      </c>
      <c r="L212">
        <v>774454560689335</v>
      </c>
      <c r="M212">
        <v>4857955008144980</v>
      </c>
      <c r="N212">
        <v>355974961863009</v>
      </c>
      <c r="O212">
        <v>81001086476274.797</v>
      </c>
      <c r="P212">
        <v>436976048339284</v>
      </c>
      <c r="Q212">
        <v>0</v>
      </c>
      <c r="R212">
        <v>0</v>
      </c>
      <c r="S212">
        <v>0</v>
      </c>
      <c r="T212">
        <v>0</v>
      </c>
      <c r="U212">
        <v>0</v>
      </c>
      <c r="V212">
        <v>0</v>
      </c>
      <c r="W212">
        <v>8334286311463940</v>
      </c>
      <c r="X212">
        <v>977085978013452</v>
      </c>
      <c r="Y212">
        <v>9311372289477390</v>
      </c>
      <c r="Z212">
        <v>8092718840658810</v>
      </c>
      <c r="AA212">
        <v>976331455129348</v>
      </c>
      <c r="AB212">
        <v>9069050295788160</v>
      </c>
      <c r="AC212">
        <v>2026435670118600</v>
      </c>
      <c r="AD212">
        <v>105312277661502</v>
      </c>
      <c r="AE212">
        <v>2131747947780100</v>
      </c>
      <c r="AF212">
        <v>290268878896074</v>
      </c>
      <c r="AG212">
        <v>3162506880084.6299</v>
      </c>
      <c r="AH212">
        <v>293431385776159</v>
      </c>
      <c r="AI212">
        <v>1205013745412840</v>
      </c>
      <c r="AJ212">
        <v>134629368807146</v>
      </c>
      <c r="AK212">
        <v>1339643114219990</v>
      </c>
      <c r="AL212">
        <v>1236164866581600</v>
      </c>
      <c r="AM212">
        <v>139274268828014</v>
      </c>
      <c r="AN212">
        <v>1375439135409620</v>
      </c>
      <c r="AO212">
        <v>6962453624175340</v>
      </c>
      <c r="AP212">
        <v>960709786335866</v>
      </c>
      <c r="AQ212">
        <v>7923163410511210</v>
      </c>
      <c r="AR212"/>
      <c r="AS212">
        <f t="shared" si="30"/>
        <v>8096263748892174</v>
      </c>
      <c r="AT212">
        <f t="shared" si="30"/>
        <v>977130999316687.38</v>
      </c>
      <c r="AU212">
        <f t="shared" si="30"/>
        <v>9073394748208870</v>
      </c>
      <c r="AV212">
        <f t="shared" si="31"/>
        <v>1.0004380367467549</v>
      </c>
      <c r="AW212">
        <f t="shared" si="31"/>
        <v>1.000818926997731</v>
      </c>
      <c r="AX212">
        <f t="shared" si="31"/>
        <v>1.0004790416062339</v>
      </c>
      <c r="AY212"/>
      <c r="AZ212"/>
      <c r="BA212"/>
      <c r="BB212"/>
      <c r="BC212" s="23"/>
      <c r="BD212"/>
      <c r="BE212"/>
    </row>
    <row r="213" spans="1:57" x14ac:dyDescent="0.3">
      <c r="A213">
        <v>1989</v>
      </c>
      <c r="B213">
        <v>-44591370502450.797</v>
      </c>
      <c r="C213">
        <v>5469844420286.6602</v>
      </c>
      <c r="D213">
        <v>-39121526082164.102</v>
      </c>
      <c r="E213">
        <v>361856331315232</v>
      </c>
      <c r="F213">
        <v>12732067338634.9</v>
      </c>
      <c r="G213">
        <v>374588398653867</v>
      </c>
      <c r="H213">
        <v>1266751626035470</v>
      </c>
      <c r="I213">
        <v>2557331211015.0801</v>
      </c>
      <c r="J213">
        <v>1269308957246490</v>
      </c>
      <c r="K213">
        <v>4170142394127040</v>
      </c>
      <c r="L213">
        <v>788448526997390</v>
      </c>
      <c r="M213">
        <v>4958590921124430</v>
      </c>
      <c r="N213">
        <v>417256138372434</v>
      </c>
      <c r="O213">
        <v>85124802382513.5</v>
      </c>
      <c r="P213">
        <v>502380940754948</v>
      </c>
      <c r="Q213">
        <v>0</v>
      </c>
      <c r="R213">
        <v>0</v>
      </c>
      <c r="S213">
        <v>0</v>
      </c>
      <c r="T213">
        <v>0</v>
      </c>
      <c r="U213">
        <v>0</v>
      </c>
      <c r="V213">
        <v>0</v>
      </c>
      <c r="W213">
        <v>8584901157986750</v>
      </c>
      <c r="X213">
        <v>995807634174176</v>
      </c>
      <c r="Y213">
        <v>9580708792160930</v>
      </c>
      <c r="Z213">
        <v>8649110883386080</v>
      </c>
      <c r="AA213">
        <v>991351282986057</v>
      </c>
      <c r="AB213">
        <v>9640462166372140</v>
      </c>
      <c r="AC213">
        <v>2081164029035060</v>
      </c>
      <c r="AD213">
        <v>104682058638560</v>
      </c>
      <c r="AE213">
        <v>2185846087673620</v>
      </c>
      <c r="AF213">
        <v>291194395700412</v>
      </c>
      <c r="AG213">
        <v>3180401833378.5</v>
      </c>
      <c r="AH213">
        <v>294374797533791</v>
      </c>
      <c r="AI213">
        <v>1249899968943520</v>
      </c>
      <c r="AJ213">
        <v>134668502719044</v>
      </c>
      <c r="AK213">
        <v>1384568471662560</v>
      </c>
      <c r="AL213">
        <v>1269525585204280</v>
      </c>
      <c r="AM213">
        <v>135692285795603</v>
      </c>
      <c r="AN213">
        <v>1405217870999880</v>
      </c>
      <c r="AO213">
        <v>7472519467449410</v>
      </c>
      <c r="AP213">
        <v>974861408031360</v>
      </c>
      <c r="AQ213">
        <v>8447380875480780</v>
      </c>
      <c r="AR213"/>
      <c r="AS213">
        <f t="shared" si="30"/>
        <v>8652581901348858</v>
      </c>
      <c r="AT213">
        <f t="shared" si="30"/>
        <v>992279127057764.25</v>
      </c>
      <c r="AU213">
        <f t="shared" si="30"/>
        <v>9644861028406630</v>
      </c>
      <c r="AV213">
        <f t="shared" si="31"/>
        <v>1.000401315003308</v>
      </c>
      <c r="AW213">
        <f t="shared" si="31"/>
        <v>1.0009359387410208</v>
      </c>
      <c r="AX213">
        <f t="shared" si="31"/>
        <v>1.0004562916132624</v>
      </c>
      <c r="AY213"/>
      <c r="AZ213"/>
      <c r="BA213"/>
      <c r="BB213"/>
      <c r="BC213" s="23"/>
      <c r="BD213"/>
      <c r="BE213"/>
    </row>
    <row r="214" spans="1:57" x14ac:dyDescent="0.3">
      <c r="A214">
        <v>1990</v>
      </c>
      <c r="B214">
        <v>-141742221703673</v>
      </c>
      <c r="C214">
        <v>-1325355090303.5701</v>
      </c>
      <c r="D214">
        <v>-143067576793976</v>
      </c>
      <c r="E214">
        <v>383070245924622</v>
      </c>
      <c r="F214">
        <v>13159196325401.5</v>
      </c>
      <c r="G214">
        <v>396229442250024</v>
      </c>
      <c r="H214">
        <v>1309881343140160</v>
      </c>
      <c r="I214">
        <v>2250844873383.1699</v>
      </c>
      <c r="J214">
        <v>1312132188013550</v>
      </c>
      <c r="K214">
        <v>4215611579096450</v>
      </c>
      <c r="L214">
        <v>800946698735505</v>
      </c>
      <c r="M214">
        <v>5016558277831960</v>
      </c>
      <c r="N214">
        <v>451500277738384</v>
      </c>
      <c r="O214">
        <v>83799536547664.203</v>
      </c>
      <c r="P214">
        <v>535299814286048</v>
      </c>
      <c r="Q214">
        <v>0</v>
      </c>
      <c r="R214">
        <v>0</v>
      </c>
      <c r="S214">
        <v>0</v>
      </c>
      <c r="T214">
        <v>0</v>
      </c>
      <c r="U214">
        <v>0</v>
      </c>
      <c r="V214">
        <v>0</v>
      </c>
      <c r="W214">
        <v>8766159357638360</v>
      </c>
      <c r="X214">
        <v>1006406375855650</v>
      </c>
      <c r="Y214">
        <v>9772565733494010</v>
      </c>
      <c r="Z214">
        <v>8945834192383710</v>
      </c>
      <c r="AA214">
        <v>1004292139137560</v>
      </c>
      <c r="AB214">
        <v>9950126331521270</v>
      </c>
      <c r="AC214">
        <v>2136496656864630</v>
      </c>
      <c r="AD214">
        <v>103525524888025</v>
      </c>
      <c r="AE214">
        <v>2240022181752660</v>
      </c>
      <c r="AF214">
        <v>273255961197724</v>
      </c>
      <c r="AG214">
        <v>3396076075173.3501</v>
      </c>
      <c r="AH214">
        <v>276652037272897</v>
      </c>
      <c r="AI214">
        <v>1243329619491260</v>
      </c>
      <c r="AJ214">
        <v>134022262668830</v>
      </c>
      <c r="AK214">
        <v>1377351882160090</v>
      </c>
      <c r="AL214">
        <v>1281285056226650</v>
      </c>
      <c r="AM214">
        <v>130586116872099</v>
      </c>
      <c r="AN214">
        <v>1411871173098750</v>
      </c>
      <c r="AO214">
        <v>7744318967759270</v>
      </c>
      <c r="AP214">
        <v>990021488136042</v>
      </c>
      <c r="AQ214">
        <v>8734340455895310</v>
      </c>
      <c r="AR214"/>
      <c r="AS214">
        <f t="shared" si="30"/>
        <v>8949513722401032</v>
      </c>
      <c r="AT214">
        <f t="shared" si="30"/>
        <v>1004967086738724.8</v>
      </c>
      <c r="AU214">
        <f t="shared" si="30"/>
        <v>9954480809139776</v>
      </c>
      <c r="AV214">
        <f t="shared" si="31"/>
        <v>1.0004113121189362</v>
      </c>
      <c r="AW214">
        <f t="shared" si="31"/>
        <v>1.0006720630132029</v>
      </c>
      <c r="AX214">
        <f t="shared" si="31"/>
        <v>1.000437630385125</v>
      </c>
      <c r="AY214"/>
      <c r="AZ214"/>
      <c r="BA214"/>
      <c r="BB214"/>
      <c r="BC214" s="23"/>
      <c r="BD214"/>
      <c r="BE214"/>
    </row>
    <row r="215" spans="1:57" x14ac:dyDescent="0.3">
      <c r="A215">
        <v>1991</v>
      </c>
      <c r="B215">
        <v>4449724691505.6396</v>
      </c>
      <c r="C215">
        <v>431631950797.52399</v>
      </c>
      <c r="D215">
        <v>4881356642303.1699</v>
      </c>
      <c r="E215">
        <v>371029313972833</v>
      </c>
      <c r="F215">
        <v>13283417551783.801</v>
      </c>
      <c r="G215">
        <v>384312731524617</v>
      </c>
      <c r="H215">
        <v>1322349136788320</v>
      </c>
      <c r="I215">
        <v>2345633236431.1099</v>
      </c>
      <c r="J215">
        <v>1324694770024750</v>
      </c>
      <c r="K215">
        <v>4251445035863460</v>
      </c>
      <c r="L215">
        <v>802664850234474</v>
      </c>
      <c r="M215">
        <v>5054109886097940</v>
      </c>
      <c r="N215">
        <v>488354997731177</v>
      </c>
      <c r="O215">
        <v>83449614114559.906</v>
      </c>
      <c r="P215">
        <v>571804611845737</v>
      </c>
      <c r="Q215">
        <v>0</v>
      </c>
      <c r="R215">
        <v>0</v>
      </c>
      <c r="S215">
        <v>0</v>
      </c>
      <c r="T215">
        <v>0</v>
      </c>
      <c r="U215">
        <v>0</v>
      </c>
      <c r="V215">
        <v>0</v>
      </c>
      <c r="W215">
        <v>8792059136697600</v>
      </c>
      <c r="X215">
        <v>1004047790222640</v>
      </c>
      <c r="Y215">
        <v>9796106926920240</v>
      </c>
      <c r="Z215">
        <v>8840340876596330</v>
      </c>
      <c r="AA215">
        <v>1003732335627980</v>
      </c>
      <c r="AB215">
        <v>9844073212224320</v>
      </c>
      <c r="AC215">
        <v>2089542983082780</v>
      </c>
      <c r="AD215">
        <v>99445564432641.203</v>
      </c>
      <c r="AE215">
        <v>2188988547515420</v>
      </c>
      <c r="AF215">
        <v>274246573665074</v>
      </c>
      <c r="AG215">
        <v>3506488990232.96</v>
      </c>
      <c r="AH215">
        <v>277753062655306</v>
      </c>
      <c r="AI215">
        <v>1255434808893100</v>
      </c>
      <c r="AJ215">
        <v>135306163692758</v>
      </c>
      <c r="AK215">
        <v>1390740972585860</v>
      </c>
      <c r="AL215">
        <v>1308184798794520</v>
      </c>
      <c r="AM215">
        <v>135432285034194</v>
      </c>
      <c r="AN215">
        <v>1443617083828710</v>
      </c>
      <c r="AO215">
        <v>7571363117434100</v>
      </c>
      <c r="AP215">
        <v>989803614997440</v>
      </c>
      <c r="AQ215">
        <v>8561166732431540</v>
      </c>
      <c r="AR215"/>
      <c r="AS215">
        <f t="shared" si="30"/>
        <v>8845268306313558</v>
      </c>
      <c r="AT215">
        <f t="shared" si="30"/>
        <v>1004390057950761.5</v>
      </c>
      <c r="AU215">
        <f t="shared" si="30"/>
        <v>9849658364264316</v>
      </c>
      <c r="AV215">
        <f t="shared" si="31"/>
        <v>1.0005573800587568</v>
      </c>
      <c r="AW215">
        <f t="shared" si="31"/>
        <v>1.0006552766105419</v>
      </c>
      <c r="AX215">
        <f t="shared" si="31"/>
        <v>1.0005673618957913</v>
      </c>
      <c r="AY215"/>
      <c r="AZ215"/>
      <c r="BA215"/>
      <c r="BB215"/>
      <c r="BC215" s="23"/>
      <c r="BD215"/>
      <c r="BE215"/>
    </row>
    <row r="216" spans="1:57" x14ac:dyDescent="0.3">
      <c r="A216">
        <v>1992</v>
      </c>
      <c r="B216">
        <v>-211793421326246</v>
      </c>
      <c r="C216">
        <v>1194645717150.45</v>
      </c>
      <c r="D216">
        <v>-210598775609096</v>
      </c>
      <c r="E216">
        <v>360762132974115</v>
      </c>
      <c r="F216">
        <v>11291429886117.699</v>
      </c>
      <c r="G216">
        <v>372053562860233</v>
      </c>
      <c r="H216">
        <v>1356498905602040</v>
      </c>
      <c r="I216">
        <v>2036418467434.8999</v>
      </c>
      <c r="J216">
        <v>1358535324069470</v>
      </c>
      <c r="K216">
        <v>4333177267999600</v>
      </c>
      <c r="L216">
        <v>811558457589073</v>
      </c>
      <c r="M216">
        <v>5144735725588670</v>
      </c>
      <c r="N216">
        <v>441595205102474</v>
      </c>
      <c r="O216">
        <v>76655505000458.5</v>
      </c>
      <c r="P216">
        <v>518250710102933</v>
      </c>
      <c r="Q216">
        <v>0</v>
      </c>
      <c r="R216">
        <v>0</v>
      </c>
      <c r="S216">
        <v>0</v>
      </c>
      <c r="T216">
        <v>0</v>
      </c>
      <c r="U216">
        <v>0</v>
      </c>
      <c r="V216">
        <v>0</v>
      </c>
      <c r="W216">
        <v>8918250475127000</v>
      </c>
      <c r="X216">
        <v>1001686017482830</v>
      </c>
      <c r="Y216">
        <v>9919936492609840</v>
      </c>
      <c r="Z216">
        <v>9131023844529100</v>
      </c>
      <c r="AA216">
        <v>1002872536388210</v>
      </c>
      <c r="AB216">
        <v>1.01338963809173E+16</v>
      </c>
      <c r="AC216">
        <v>2147426571858690</v>
      </c>
      <c r="AD216">
        <v>97118716269901</v>
      </c>
      <c r="AE216">
        <v>2244545288128590</v>
      </c>
      <c r="AF216">
        <v>284699975230552</v>
      </c>
      <c r="AG216">
        <v>3594426841406.1699</v>
      </c>
      <c r="AH216">
        <v>288294402071958</v>
      </c>
      <c r="AI216">
        <v>1408734650502580</v>
      </c>
      <c r="AJ216">
        <v>140355738081850</v>
      </c>
      <c r="AK216">
        <v>1549090388584430</v>
      </c>
      <c r="AL216">
        <v>1409740846101690</v>
      </c>
      <c r="AM216">
        <v>142729538241099</v>
      </c>
      <c r="AN216">
        <v>1552470384342790</v>
      </c>
      <c r="AO216">
        <v>7868667847332210</v>
      </c>
      <c r="AP216">
        <v>992059517079960</v>
      </c>
      <c r="AQ216">
        <v>8860727364412180</v>
      </c>
      <c r="AR216"/>
      <c r="AS216">
        <f t="shared" si="30"/>
        <v>9136959675692826</v>
      </c>
      <c r="AT216">
        <f t="shared" si="30"/>
        <v>1003434108496489.8</v>
      </c>
      <c r="AU216">
        <f t="shared" si="30"/>
        <v>1.014039378418931E+16</v>
      </c>
      <c r="AV216">
        <f t="shared" si="31"/>
        <v>1.0006500729014394</v>
      </c>
      <c r="AW216">
        <f t="shared" si="31"/>
        <v>1.0005599635924842</v>
      </c>
      <c r="AX216">
        <f t="shared" si="31"/>
        <v>1.0006411554872661</v>
      </c>
      <c r="AY216"/>
      <c r="AZ216"/>
      <c r="BA216"/>
      <c r="BB216"/>
      <c r="BC216" s="23"/>
      <c r="BD216"/>
      <c r="BE216"/>
    </row>
    <row r="217" spans="1:57" x14ac:dyDescent="0.3">
      <c r="A217">
        <v>1993</v>
      </c>
      <c r="B217">
        <v>74485994973498.703</v>
      </c>
      <c r="C217">
        <v>-1377178769382.5801</v>
      </c>
      <c r="D217">
        <v>73108816204116.094</v>
      </c>
      <c r="E217">
        <v>356901017609781</v>
      </c>
      <c r="F217">
        <v>11108970976135.801</v>
      </c>
      <c r="G217">
        <v>368009988585917</v>
      </c>
      <c r="H217">
        <v>1349667298704030</v>
      </c>
      <c r="I217">
        <v>1965123013125.5</v>
      </c>
      <c r="J217">
        <v>1351632421717150</v>
      </c>
      <c r="K217">
        <v>4404111876440380</v>
      </c>
      <c r="L217">
        <v>824641996729419</v>
      </c>
      <c r="M217">
        <v>5228753873169800</v>
      </c>
      <c r="N217">
        <v>475860429715324</v>
      </c>
      <c r="O217">
        <v>74742550330928.703</v>
      </c>
      <c r="P217">
        <v>550602980046253</v>
      </c>
      <c r="Q217">
        <v>0</v>
      </c>
      <c r="R217">
        <v>0</v>
      </c>
      <c r="S217">
        <v>0</v>
      </c>
      <c r="T217">
        <v>0</v>
      </c>
      <c r="U217">
        <v>0</v>
      </c>
      <c r="V217">
        <v>0</v>
      </c>
      <c r="W217">
        <v>8995586218298130</v>
      </c>
      <c r="X217">
        <v>1008925306358610</v>
      </c>
      <c r="Y217">
        <v>1.00045115246567E+16</v>
      </c>
      <c r="Z217">
        <v>8963778067399300</v>
      </c>
      <c r="AA217">
        <v>1014905795856300</v>
      </c>
      <c r="AB217">
        <v>9978683863255610</v>
      </c>
      <c r="AC217">
        <v>2134496636273190</v>
      </c>
      <c r="AD217">
        <v>93337579197781.5</v>
      </c>
      <c r="AE217">
        <v>2227834215470970</v>
      </c>
      <c r="AF217">
        <v>281221606509478</v>
      </c>
      <c r="AG217">
        <v>3713678546594.6401</v>
      </c>
      <c r="AH217">
        <v>284935285056072</v>
      </c>
      <c r="AI217">
        <v>1320342071216940</v>
      </c>
      <c r="AJ217">
        <v>141376355073141</v>
      </c>
      <c r="AK217">
        <v>1461718426290080</v>
      </c>
      <c r="AL217">
        <v>1363032041840180</v>
      </c>
      <c r="AM217">
        <v>146003745607011</v>
      </c>
      <c r="AN217">
        <v>1509035787447190</v>
      </c>
      <c r="AO217">
        <v>7677074525456010</v>
      </c>
      <c r="AP217">
        <v>1002765756946350</v>
      </c>
      <c r="AQ217">
        <v>8679840282402370</v>
      </c>
      <c r="AR217"/>
      <c r="AS217">
        <f t="shared" ref="AS217:AU237" si="32">+E217+K217+N217+AC217+AF217+H217+AL217+T217-B217-AI217-Q217</f>
        <v>8970462840901926</v>
      </c>
      <c r="AT217">
        <f t="shared" si="32"/>
        <v>1015514468097237.5</v>
      </c>
      <c r="AU217">
        <f t="shared" si="32"/>
        <v>9985977308999156</v>
      </c>
      <c r="AV217">
        <f t="shared" si="31"/>
        <v>1.0007457540171525</v>
      </c>
      <c r="AW217">
        <f t="shared" si="31"/>
        <v>1.0005997327470417</v>
      </c>
      <c r="AX217">
        <f t="shared" si="31"/>
        <v>1.0007309025762809</v>
      </c>
      <c r="AY217"/>
      <c r="AZ217"/>
      <c r="BA217"/>
      <c r="BB217"/>
      <c r="BC217" s="23"/>
      <c r="BD217"/>
      <c r="BE217"/>
    </row>
    <row r="218" spans="1:57" x14ac:dyDescent="0.3">
      <c r="A218">
        <v>1994</v>
      </c>
      <c r="B218">
        <v>-38275384715286.297</v>
      </c>
      <c r="C218">
        <v>120139727623.328</v>
      </c>
      <c r="D218">
        <v>-38155244987663</v>
      </c>
      <c r="E218">
        <v>360194023627660</v>
      </c>
      <c r="F218">
        <v>10308341181576</v>
      </c>
      <c r="G218">
        <v>370502364809236</v>
      </c>
      <c r="H218">
        <v>1360489636180730</v>
      </c>
      <c r="I218">
        <v>2092665348422.8301</v>
      </c>
      <c r="J218">
        <v>1362582301529150</v>
      </c>
      <c r="K218">
        <v>4497746537567570</v>
      </c>
      <c r="L218">
        <v>849920301036611</v>
      </c>
      <c r="M218">
        <v>5347666838604190</v>
      </c>
      <c r="N218">
        <v>478230940591707</v>
      </c>
      <c r="O218">
        <v>74040656197161</v>
      </c>
      <c r="P218">
        <v>552271596788869</v>
      </c>
      <c r="Q218">
        <v>0</v>
      </c>
      <c r="R218">
        <v>0</v>
      </c>
      <c r="S218">
        <v>0</v>
      </c>
      <c r="T218">
        <v>0</v>
      </c>
      <c r="U218">
        <v>0</v>
      </c>
      <c r="V218">
        <v>0</v>
      </c>
      <c r="W218">
        <v>9144477604084640</v>
      </c>
      <c r="X218">
        <v>1034780045844740</v>
      </c>
      <c r="Y218">
        <v>1.01792576499293E+16</v>
      </c>
      <c r="Z218">
        <v>9237733997393170</v>
      </c>
      <c r="AA218">
        <v>1041219561386630</v>
      </c>
      <c r="AB218">
        <v>1.02789535587798E+16</v>
      </c>
      <c r="AC218">
        <v>2171146971533980</v>
      </c>
      <c r="AD218">
        <v>95291248877176.906</v>
      </c>
      <c r="AE218">
        <v>2266438220411160</v>
      </c>
      <c r="AF218">
        <v>284084051866759</v>
      </c>
      <c r="AG218">
        <v>3867599851545.8701</v>
      </c>
      <c r="AH218">
        <v>287951651718305</v>
      </c>
      <c r="AI218">
        <v>1377008670081380</v>
      </c>
      <c r="AJ218">
        <v>158446119256379</v>
      </c>
      <c r="AK218">
        <v>1535454789337760</v>
      </c>
      <c r="AL218">
        <v>1431966961112000</v>
      </c>
      <c r="AM218">
        <v>165023076891559</v>
      </c>
      <c r="AN218">
        <v>1596990038003560</v>
      </c>
      <c r="AO218">
        <v>7942360283843850</v>
      </c>
      <c r="AP218">
        <v>1026131937661450</v>
      </c>
      <c r="AQ218">
        <v>8968492221505310</v>
      </c>
      <c r="AR218"/>
      <c r="AS218">
        <f t="shared" si="32"/>
        <v>9245125837114312</v>
      </c>
      <c r="AT218">
        <f t="shared" si="32"/>
        <v>1041977630400050.3</v>
      </c>
      <c r="AU218">
        <f t="shared" si="32"/>
        <v>1.0287103467514372E+16</v>
      </c>
      <c r="AV218">
        <f t="shared" si="31"/>
        <v>1.0008001788883754</v>
      </c>
      <c r="AW218">
        <f t="shared" si="31"/>
        <v>1.0007280587510388</v>
      </c>
      <c r="AX218">
        <f t="shared" si="31"/>
        <v>1.0007928733881291</v>
      </c>
      <c r="AY218"/>
      <c r="AZ218"/>
      <c r="BA218"/>
      <c r="BB218"/>
      <c r="BC218" s="23"/>
      <c r="BD218"/>
      <c r="BE218"/>
    </row>
    <row r="219" spans="1:57" x14ac:dyDescent="0.3">
      <c r="A219">
        <v>1995</v>
      </c>
      <c r="B219">
        <v>166368567225626</v>
      </c>
      <c r="C219">
        <v>-9311011400.0266895</v>
      </c>
      <c r="D219">
        <v>166359256214226</v>
      </c>
      <c r="E219">
        <v>372402451892338</v>
      </c>
      <c r="F219">
        <v>12279037146555</v>
      </c>
      <c r="G219">
        <v>384681489038893</v>
      </c>
      <c r="H219">
        <v>1454626774631140</v>
      </c>
      <c r="I219">
        <v>1774070071366.3701</v>
      </c>
      <c r="J219">
        <v>1456400844702510</v>
      </c>
      <c r="K219">
        <v>4602561390271560</v>
      </c>
      <c r="L219">
        <v>873446368985909</v>
      </c>
      <c r="M219">
        <v>5476007759257470</v>
      </c>
      <c r="N219">
        <v>540221266321348</v>
      </c>
      <c r="O219">
        <v>73785740948335.906</v>
      </c>
      <c r="P219">
        <v>614007007269684</v>
      </c>
      <c r="Q219">
        <v>0</v>
      </c>
      <c r="R219">
        <v>0</v>
      </c>
      <c r="S219">
        <v>0</v>
      </c>
      <c r="T219">
        <v>0</v>
      </c>
      <c r="U219">
        <v>0</v>
      </c>
      <c r="V219">
        <v>0</v>
      </c>
      <c r="W219">
        <v>9368267926439190</v>
      </c>
      <c r="X219">
        <v>1055331072605380</v>
      </c>
      <c r="Y219">
        <v>1.04235989990445E+16</v>
      </c>
      <c r="Z219">
        <v>9252999783532280</v>
      </c>
      <c r="AA219">
        <v>1058078950428810</v>
      </c>
      <c r="AB219">
        <v>1.0311078733961E+16</v>
      </c>
      <c r="AC219">
        <v>2117024134637110</v>
      </c>
      <c r="AD219">
        <v>90535924541244.906</v>
      </c>
      <c r="AE219">
        <v>2207560059178360</v>
      </c>
      <c r="AF219">
        <v>288891039493190</v>
      </c>
      <c r="AG219">
        <v>4130892244477</v>
      </c>
      <c r="AH219">
        <v>293021931737667</v>
      </c>
      <c r="AI219">
        <v>1481103639322290</v>
      </c>
      <c r="AJ219">
        <v>165299932258751</v>
      </c>
      <c r="AK219">
        <v>1646403571581040</v>
      </c>
      <c r="AL219">
        <v>1532250795943560</v>
      </c>
      <c r="AM219">
        <v>168053140090806</v>
      </c>
      <c r="AN219">
        <v>1700303936034370</v>
      </c>
      <c r="AO219">
        <v>7846017392725110</v>
      </c>
      <c r="AP219">
        <v>1044208196553280</v>
      </c>
      <c r="AQ219">
        <v>8890225589278390</v>
      </c>
      <c r="AR219"/>
      <c r="AS219">
        <f t="shared" si="32"/>
        <v>9260505646642330</v>
      </c>
      <c r="AT219">
        <f t="shared" si="32"/>
        <v>1058714552781343</v>
      </c>
      <c r="AU219">
        <f t="shared" si="32"/>
        <v>1.0319220199423688E+16</v>
      </c>
      <c r="AV219">
        <f t="shared" si="31"/>
        <v>1.0008111815936069</v>
      </c>
      <c r="AW219">
        <f t="shared" si="31"/>
        <v>1.0006007135405872</v>
      </c>
      <c r="AX219">
        <f t="shared" si="31"/>
        <v>1.000789584259101</v>
      </c>
      <c r="AY219"/>
      <c r="AZ219"/>
      <c r="BA219"/>
      <c r="BB219"/>
      <c r="BC219" s="23"/>
      <c r="BD219"/>
      <c r="BE219"/>
    </row>
    <row r="220" spans="1:57" x14ac:dyDescent="0.3">
      <c r="A220">
        <v>1996</v>
      </c>
      <c r="B220">
        <v>-184627549523921</v>
      </c>
      <c r="C220">
        <v>-3496575923113.0601</v>
      </c>
      <c r="D220">
        <v>-188124125447034</v>
      </c>
      <c r="E220">
        <v>371178100047013</v>
      </c>
      <c r="F220">
        <v>13022258123900.1</v>
      </c>
      <c r="G220">
        <v>384200358170913</v>
      </c>
      <c r="H220">
        <v>1505287981600000</v>
      </c>
      <c r="I220">
        <v>2617135651907.79</v>
      </c>
      <c r="J220">
        <v>1507905117251910</v>
      </c>
      <c r="K220">
        <v>4680977249446320</v>
      </c>
      <c r="L220">
        <v>883659189312631</v>
      </c>
      <c r="M220">
        <v>5564636438758950</v>
      </c>
      <c r="N220">
        <v>629496270114833</v>
      </c>
      <c r="O220">
        <v>78319297337285.406</v>
      </c>
      <c r="P220">
        <v>707815567452118</v>
      </c>
      <c r="Q220">
        <v>0</v>
      </c>
      <c r="R220">
        <v>0</v>
      </c>
      <c r="S220">
        <v>0</v>
      </c>
      <c r="T220">
        <v>0</v>
      </c>
      <c r="U220">
        <v>0</v>
      </c>
      <c r="V220">
        <v>0</v>
      </c>
      <c r="W220">
        <v>9693935966612980</v>
      </c>
      <c r="X220">
        <v>1066852781731820</v>
      </c>
      <c r="Y220">
        <v>1.07607887483448E+16</v>
      </c>
      <c r="Z220">
        <v>9904789934501410</v>
      </c>
      <c r="AA220">
        <v>1073039118735700</v>
      </c>
      <c r="AB220">
        <v>1.09778290532371E+16</v>
      </c>
      <c r="AC220">
        <v>2222784147628380</v>
      </c>
      <c r="AD220">
        <v>85556662412373.797</v>
      </c>
      <c r="AE220">
        <v>2308340810040750</v>
      </c>
      <c r="AF220">
        <v>293097611186439</v>
      </c>
      <c r="AG220">
        <v>4272196214600.29</v>
      </c>
      <c r="AH220">
        <v>297369807401040</v>
      </c>
      <c r="AI220">
        <v>1492427925978160</v>
      </c>
      <c r="AJ220">
        <v>161463197200264</v>
      </c>
      <c r="AK220">
        <v>1653891123178430</v>
      </c>
      <c r="AL220">
        <v>1518650838288020</v>
      </c>
      <c r="AM220">
        <v>164132481780387</v>
      </c>
      <c r="AN220">
        <v>1682783320068410</v>
      </c>
      <c r="AO220">
        <v>8405623994313550</v>
      </c>
      <c r="AP220">
        <v>1059161156762970</v>
      </c>
      <c r="AQ220">
        <v>9464785151076530</v>
      </c>
      <c r="AR220"/>
      <c r="AS220">
        <f t="shared" si="32"/>
        <v>9913671821856764</v>
      </c>
      <c r="AT220">
        <f t="shared" si="32"/>
        <v>1073612599555934.3</v>
      </c>
      <c r="AU220">
        <f t="shared" si="32"/>
        <v>1.0987284421412696E+16</v>
      </c>
      <c r="AV220">
        <f t="shared" si="31"/>
        <v>1.0008967264741695</v>
      </c>
      <c r="AW220">
        <f t="shared" si="31"/>
        <v>1.00053444539926</v>
      </c>
      <c r="AX220">
        <f t="shared" si="31"/>
        <v>1.0008613149402985</v>
      </c>
      <c r="AY220"/>
      <c r="AZ220"/>
      <c r="BA220"/>
      <c r="BB220"/>
      <c r="BC220" s="23"/>
      <c r="BD220"/>
      <c r="BE220"/>
    </row>
    <row r="221" spans="1:57" x14ac:dyDescent="0.3">
      <c r="A221">
        <v>1997</v>
      </c>
      <c r="B221">
        <v>-188358417893703</v>
      </c>
      <c r="C221">
        <v>-561602334268.32898</v>
      </c>
      <c r="D221">
        <v>-188920020227971</v>
      </c>
      <c r="E221">
        <v>376464931613708</v>
      </c>
      <c r="F221">
        <v>12356134865699.5</v>
      </c>
      <c r="G221">
        <v>388821066479408</v>
      </c>
      <c r="H221">
        <v>1528220341949840</v>
      </c>
      <c r="I221">
        <v>2921314304672.6201</v>
      </c>
      <c r="J221">
        <v>1531141656254510</v>
      </c>
      <c r="K221">
        <v>4764994262052530</v>
      </c>
      <c r="L221">
        <v>897812545470710</v>
      </c>
      <c r="M221">
        <v>5662806807523240</v>
      </c>
      <c r="N221">
        <v>624573058522949</v>
      </c>
      <c r="O221">
        <v>74303458594533.594</v>
      </c>
      <c r="P221">
        <v>698876517117483</v>
      </c>
      <c r="Q221">
        <v>0</v>
      </c>
      <c r="R221">
        <v>0</v>
      </c>
      <c r="S221">
        <v>0</v>
      </c>
      <c r="T221">
        <v>0</v>
      </c>
      <c r="U221">
        <v>0</v>
      </c>
      <c r="V221">
        <v>0</v>
      </c>
      <c r="W221">
        <v>9795843983653010</v>
      </c>
      <c r="X221">
        <v>1078481931843570</v>
      </c>
      <c r="Y221">
        <v>1.08743259154965E+16</v>
      </c>
      <c r="Z221">
        <v>1.00709830733986E+16</v>
      </c>
      <c r="AA221">
        <v>1083192522192280</v>
      </c>
      <c r="AB221">
        <v>1.11541755955908E+16</v>
      </c>
      <c r="AC221">
        <v>2224738120129850</v>
      </c>
      <c r="AD221">
        <v>87275660502509.594</v>
      </c>
      <c r="AE221">
        <v>2312013780632360</v>
      </c>
      <c r="AF221">
        <v>286349409324217</v>
      </c>
      <c r="AG221">
        <v>4358361304079.2202</v>
      </c>
      <c r="AH221">
        <v>290707770628296</v>
      </c>
      <c r="AI221">
        <v>1535403839408650</v>
      </c>
      <c r="AJ221">
        <v>165754743924670</v>
      </c>
      <c r="AK221">
        <v>1701158583333320</v>
      </c>
      <c r="AL221">
        <v>1622181239945680</v>
      </c>
      <c r="AM221">
        <v>169924467115730</v>
      </c>
      <c r="AN221">
        <v>1792105707061410</v>
      </c>
      <c r="AO221">
        <v>8529288099004020</v>
      </c>
      <c r="AP221">
        <v>1071435115535510</v>
      </c>
      <c r="AQ221">
        <v>9600723214539530</v>
      </c>
      <c r="AR221"/>
      <c r="AS221">
        <f t="shared" si="32"/>
        <v>1.0080475942023826E+16</v>
      </c>
      <c r="AT221">
        <f t="shared" si="32"/>
        <v>1083758800567532.8</v>
      </c>
      <c r="AU221">
        <f t="shared" si="32"/>
        <v>1.116423474259136E+16</v>
      </c>
      <c r="AV221">
        <f t="shared" si="31"/>
        <v>1.000942596026231</v>
      </c>
      <c r="AW221">
        <f t="shared" si="31"/>
        <v>1.0005227864517627</v>
      </c>
      <c r="AX221">
        <f t="shared" si="31"/>
        <v>1.0009018279221402</v>
      </c>
      <c r="AY221"/>
      <c r="AZ221"/>
      <c r="BA221"/>
      <c r="BB221"/>
      <c r="BC221" s="23"/>
      <c r="BD221"/>
      <c r="BE221"/>
    </row>
    <row r="222" spans="1:57" x14ac:dyDescent="0.3">
      <c r="A222">
        <v>1998</v>
      </c>
      <c r="B222">
        <v>-138223416014935</v>
      </c>
      <c r="C222">
        <v>-1741281247152.5701</v>
      </c>
      <c r="D222">
        <v>-139964697262087</v>
      </c>
      <c r="E222">
        <v>385346822521082</v>
      </c>
      <c r="F222">
        <v>12533268530710</v>
      </c>
      <c r="G222">
        <v>397880091051792</v>
      </c>
      <c r="H222">
        <v>1583327444913170</v>
      </c>
      <c r="I222">
        <v>2668937174702.0601</v>
      </c>
      <c r="J222">
        <v>1585996382087880</v>
      </c>
      <c r="K222">
        <v>4839800297050290</v>
      </c>
      <c r="L222">
        <v>927275955443102</v>
      </c>
      <c r="M222">
        <v>5767076252493390</v>
      </c>
      <c r="N222">
        <v>646460243436856</v>
      </c>
      <c r="O222">
        <v>77337823218495.297</v>
      </c>
      <c r="P222">
        <v>723798066655352</v>
      </c>
      <c r="Q222">
        <v>0</v>
      </c>
      <c r="R222">
        <v>0</v>
      </c>
      <c r="S222">
        <v>0</v>
      </c>
      <c r="T222">
        <v>0</v>
      </c>
      <c r="U222">
        <v>0</v>
      </c>
      <c r="V222">
        <v>0</v>
      </c>
      <c r="W222">
        <v>9946674520528310</v>
      </c>
      <c r="X222">
        <v>1099850005423330</v>
      </c>
      <c r="Y222">
        <v>1.10465245259516E+16</v>
      </c>
      <c r="Z222">
        <v>1.01692064506845E+16</v>
      </c>
      <c r="AA222">
        <v>1104571242607530</v>
      </c>
      <c r="AB222">
        <v>1.12737776932921E+16</v>
      </c>
      <c r="AC222">
        <v>2223652857633630</v>
      </c>
      <c r="AD222">
        <v>75939737415051.406</v>
      </c>
      <c r="AE222">
        <v>2299592595048680</v>
      </c>
      <c r="AF222">
        <v>277647729024000</v>
      </c>
      <c r="AG222">
        <v>4499786431150.9297</v>
      </c>
      <c r="AH222">
        <v>282147515455151</v>
      </c>
      <c r="AI222">
        <v>1569493812755100</v>
      </c>
      <c r="AJ222">
        <v>163162896434785</v>
      </c>
      <c r="AK222">
        <v>1732656709189890</v>
      </c>
      <c r="AL222">
        <v>1653785764828620</v>
      </c>
      <c r="AM222">
        <v>166149618659383</v>
      </c>
      <c r="AN222">
        <v>1819935383488000</v>
      </c>
      <c r="AO222">
        <v>8612370828530450</v>
      </c>
      <c r="AP222">
        <v>1095907524602860</v>
      </c>
      <c r="AQ222">
        <v>9708278353133320</v>
      </c>
      <c r="AR222"/>
      <c r="AS222">
        <f t="shared" si="32"/>
        <v>1.0178750762667484E+16</v>
      </c>
      <c r="AT222">
        <f t="shared" si="32"/>
        <v>1104983511684962</v>
      </c>
      <c r="AU222">
        <f t="shared" si="32"/>
        <v>1.1283734274352442E+16</v>
      </c>
      <c r="AV222">
        <f t="shared" si="31"/>
        <v>1.0009385503214305</v>
      </c>
      <c r="AW222">
        <f t="shared" si="31"/>
        <v>1.0003732390103319</v>
      </c>
      <c r="AX222">
        <f t="shared" si="31"/>
        <v>1.000883162798772</v>
      </c>
      <c r="AY222"/>
      <c r="AZ222"/>
      <c r="BA222"/>
      <c r="BB222"/>
      <c r="BC222" s="23"/>
      <c r="BD222"/>
      <c r="BE222"/>
    </row>
    <row r="223" spans="1:57" x14ac:dyDescent="0.3">
      <c r="A223">
        <v>1999</v>
      </c>
      <c r="B223">
        <v>-132735647228292</v>
      </c>
      <c r="C223">
        <v>-2563531593756.5298</v>
      </c>
      <c r="D223">
        <v>-135299178822049</v>
      </c>
      <c r="E223">
        <v>392116142508267</v>
      </c>
      <c r="F223">
        <v>13151671829906.9</v>
      </c>
      <c r="G223">
        <v>405267814338174</v>
      </c>
      <c r="H223">
        <v>1609734479017690</v>
      </c>
      <c r="I223">
        <v>2370701782376.4902</v>
      </c>
      <c r="J223">
        <v>1612105180800070</v>
      </c>
      <c r="K223">
        <v>4914911275638610</v>
      </c>
      <c r="L223">
        <v>953473602631700</v>
      </c>
      <c r="M223">
        <v>5868384878270310</v>
      </c>
      <c r="N223">
        <v>680844983114259</v>
      </c>
      <c r="O223">
        <v>80972930143946.406</v>
      </c>
      <c r="P223">
        <v>761817913258205</v>
      </c>
      <c r="Q223">
        <v>0</v>
      </c>
      <c r="R223">
        <v>0</v>
      </c>
      <c r="S223">
        <v>0</v>
      </c>
      <c r="T223">
        <v>0</v>
      </c>
      <c r="U223">
        <v>0</v>
      </c>
      <c r="V223">
        <v>0</v>
      </c>
      <c r="W223">
        <v>1.01098840545547E+16</v>
      </c>
      <c r="X223">
        <v>1135993537588820</v>
      </c>
      <c r="Y223">
        <v>1.12458775921435E+16</v>
      </c>
      <c r="Z223">
        <v>1.03033209359787E+16</v>
      </c>
      <c r="AA223">
        <v>1141646020545870</v>
      </c>
      <c r="AB223">
        <v>1.14449669565246E+16</v>
      </c>
      <c r="AC223">
        <v>2247408243819550</v>
      </c>
      <c r="AD223">
        <v>81827099659513.594</v>
      </c>
      <c r="AE223">
        <v>2329235343479060</v>
      </c>
      <c r="AF223">
        <v>276491663758913</v>
      </c>
      <c r="AG223">
        <v>4672141972278.4805</v>
      </c>
      <c r="AH223">
        <v>281163805731192</v>
      </c>
      <c r="AI223">
        <v>1682712156556090</v>
      </c>
      <c r="AJ223">
        <v>177147717330360</v>
      </c>
      <c r="AK223">
        <v>1859859873886450</v>
      </c>
      <c r="AL223">
        <v>1743424427411840</v>
      </c>
      <c r="AM223">
        <v>180234192915048</v>
      </c>
      <c r="AN223">
        <v>1923658620326890</v>
      </c>
      <c r="AO223">
        <v>8698803280720620</v>
      </c>
      <c r="AP223">
        <v>1127591870810550</v>
      </c>
      <c r="AQ223">
        <v>9826395151531170</v>
      </c>
      <c r="AR223"/>
      <c r="AS223">
        <f t="shared" si="32"/>
        <v>1.031495470594133E+16</v>
      </c>
      <c r="AT223">
        <f t="shared" si="32"/>
        <v>1142118155198166.3</v>
      </c>
      <c r="AU223">
        <f t="shared" si="32"/>
        <v>1.1457072861139498E+16</v>
      </c>
      <c r="AV223">
        <f t="shared" si="31"/>
        <v>1.0011291281747816</v>
      </c>
      <c r="AW223">
        <f t="shared" si="31"/>
        <v>1.0004135560793797</v>
      </c>
      <c r="AX223">
        <f t="shared" si="31"/>
        <v>1.0010577491976067</v>
      </c>
      <c r="AY223"/>
      <c r="AZ223"/>
      <c r="BA223"/>
      <c r="BB223"/>
      <c r="BC223" s="23"/>
      <c r="BD223"/>
      <c r="BE223"/>
    </row>
    <row r="224" spans="1:57" x14ac:dyDescent="0.3">
      <c r="A224">
        <v>2000</v>
      </c>
      <c r="B224">
        <v>81801183685076.594</v>
      </c>
      <c r="C224">
        <v>-505277495152.75403</v>
      </c>
      <c r="D224">
        <v>81295906189923.797</v>
      </c>
      <c r="E224">
        <v>401026288741338</v>
      </c>
      <c r="F224">
        <v>13434700677965.801</v>
      </c>
      <c r="G224">
        <v>414460989419304</v>
      </c>
      <c r="H224">
        <v>1632066546873710</v>
      </c>
      <c r="I224">
        <v>2229217938116.6802</v>
      </c>
      <c r="J224">
        <v>1634295764811830</v>
      </c>
      <c r="K224">
        <v>4995600848842740</v>
      </c>
      <c r="L224">
        <v>974810957881119</v>
      </c>
      <c r="M224">
        <v>5970411806723860</v>
      </c>
      <c r="N224">
        <v>657954071946211</v>
      </c>
      <c r="O224">
        <v>81140436262842.5</v>
      </c>
      <c r="P224">
        <v>739094508209054</v>
      </c>
      <c r="Q224">
        <v>0</v>
      </c>
      <c r="R224">
        <v>0</v>
      </c>
      <c r="S224">
        <v>0</v>
      </c>
      <c r="T224">
        <v>0</v>
      </c>
      <c r="U224">
        <v>0</v>
      </c>
      <c r="V224">
        <v>0</v>
      </c>
      <c r="W224">
        <v>1.02677055581517E+16</v>
      </c>
      <c r="X224">
        <v>1161706294612860</v>
      </c>
      <c r="Y224">
        <v>1.14294118527646E+16</v>
      </c>
      <c r="Z224">
        <v>1.02455608816094E+16</v>
      </c>
      <c r="AA224">
        <v>1163803139697120</v>
      </c>
      <c r="AB224">
        <v>1.14093640213065E+16</v>
      </c>
      <c r="AC224">
        <v>2315541089844910</v>
      </c>
      <c r="AD224">
        <v>86024606332768.797</v>
      </c>
      <c r="AE224">
        <v>2401565696177680</v>
      </c>
      <c r="AF224">
        <v>276197252128796</v>
      </c>
      <c r="AG224">
        <v>4758269090820.2402</v>
      </c>
      <c r="AH224">
        <v>280955521219616</v>
      </c>
      <c r="AI224">
        <v>1739431436216240</v>
      </c>
      <c r="AJ224">
        <v>187631005592529</v>
      </c>
      <c r="AK224">
        <v>1927062441808770</v>
      </c>
      <c r="AL224">
        <v>1799063466990220</v>
      </c>
      <c r="AM224">
        <v>189221656147651</v>
      </c>
      <c r="AN224">
        <v>1988285123137870</v>
      </c>
      <c r="AO224">
        <v>8653152948756060</v>
      </c>
      <c r="AP224">
        <v>1150413211932240</v>
      </c>
      <c r="AQ224">
        <v>9803566160688310</v>
      </c>
      <c r="AR224"/>
      <c r="AS224">
        <f t="shared" si="32"/>
        <v>1.0256216945466608E+16</v>
      </c>
      <c r="AT224">
        <f t="shared" si="32"/>
        <v>1164494116233907.8</v>
      </c>
      <c r="AU224">
        <f t="shared" si="32"/>
        <v>1.142071106170052E+16</v>
      </c>
      <c r="AV224">
        <f t="shared" si="31"/>
        <v>1.0010400664229457</v>
      </c>
      <c r="AW224">
        <f t="shared" si="31"/>
        <v>1.0005937228670543</v>
      </c>
      <c r="AX224">
        <f t="shared" si="31"/>
        <v>1.0009945375020755</v>
      </c>
      <c r="AY224"/>
      <c r="AZ224"/>
      <c r="BA224"/>
      <c r="BB224"/>
      <c r="BC224" s="23"/>
      <c r="BD224"/>
      <c r="BE224"/>
    </row>
    <row r="225" spans="1:57" x14ac:dyDescent="0.3">
      <c r="A225">
        <v>2001</v>
      </c>
      <c r="B225">
        <v>96294039149455</v>
      </c>
      <c r="C225">
        <v>144554371327.67499</v>
      </c>
      <c r="D225">
        <v>96438593520782.703</v>
      </c>
      <c r="E225">
        <v>402845852449376</v>
      </c>
      <c r="F225">
        <v>13767054773563.4</v>
      </c>
      <c r="G225">
        <v>416612907222939</v>
      </c>
      <c r="H225">
        <v>1674783393914020</v>
      </c>
      <c r="I225">
        <v>2025390549574.4099</v>
      </c>
      <c r="J225">
        <v>1676808784463600</v>
      </c>
      <c r="K225">
        <v>5053054510382290</v>
      </c>
      <c r="L225">
        <v>984997117319408</v>
      </c>
      <c r="M225">
        <v>6038051627701700</v>
      </c>
      <c r="N225">
        <v>755461975991589</v>
      </c>
      <c r="O225">
        <v>84682633438962.297</v>
      </c>
      <c r="P225">
        <v>840144609430551</v>
      </c>
      <c r="Q225">
        <v>0</v>
      </c>
      <c r="R225">
        <v>0</v>
      </c>
      <c r="S225">
        <v>0</v>
      </c>
      <c r="T225">
        <v>0</v>
      </c>
      <c r="U225">
        <v>0</v>
      </c>
      <c r="V225">
        <v>0</v>
      </c>
      <c r="W225">
        <v>1.05503428147856E+16</v>
      </c>
      <c r="X225">
        <v>1171623766648720</v>
      </c>
      <c r="Y225">
        <v>1.17219665814344E+16</v>
      </c>
      <c r="Z225">
        <v>1.05235450381711E+16</v>
      </c>
      <c r="AA225">
        <v>1172732213715640</v>
      </c>
      <c r="AB225">
        <v>1.16962772518868E+16</v>
      </c>
      <c r="AC225">
        <v>2396758550586430</v>
      </c>
      <c r="AD225">
        <v>81988989192829.703</v>
      </c>
      <c r="AE225">
        <v>2478747539779260</v>
      </c>
      <c r="AF225">
        <v>278738510949437</v>
      </c>
      <c r="AG225">
        <v>4965036336731.4199</v>
      </c>
      <c r="AH225">
        <v>283703547286168</v>
      </c>
      <c r="AI225">
        <v>1801590481400550</v>
      </c>
      <c r="AJ225">
        <v>182062990609302</v>
      </c>
      <c r="AK225">
        <v>1983653472009860</v>
      </c>
      <c r="AL225">
        <v>1871059813710570</v>
      </c>
      <c r="AM225">
        <v>183330969261214</v>
      </c>
      <c r="AN225">
        <v>2054390782971780</v>
      </c>
      <c r="AO225">
        <v>8820702377569880</v>
      </c>
      <c r="AP225">
        <v>1161607909143000</v>
      </c>
      <c r="AQ225">
        <v>9982310286712890</v>
      </c>
      <c r="AR225"/>
      <c r="AS225">
        <f t="shared" si="32"/>
        <v>1.0534818087433706E+16</v>
      </c>
      <c r="AT225">
        <f t="shared" si="32"/>
        <v>1173549645891653.5</v>
      </c>
      <c r="AU225">
        <f t="shared" si="32"/>
        <v>1.1708367733325356E+16</v>
      </c>
      <c r="AV225">
        <f t="shared" si="31"/>
        <v>1.0010712216483815</v>
      </c>
      <c r="AW225">
        <f t="shared" si="31"/>
        <v>1.0006970322520805</v>
      </c>
      <c r="AX225">
        <f t="shared" si="31"/>
        <v>1.001033703389393</v>
      </c>
      <c r="AY225"/>
      <c r="AZ225"/>
      <c r="BA225"/>
      <c r="BB225"/>
      <c r="BC225" s="23"/>
      <c r="BD225"/>
      <c r="BE225"/>
    </row>
    <row r="226" spans="1:57" x14ac:dyDescent="0.3">
      <c r="A226">
        <v>2002</v>
      </c>
      <c r="B226">
        <v>301539544884254</v>
      </c>
      <c r="C226">
        <v>-2577696837850.77</v>
      </c>
      <c r="D226">
        <v>298961848046404</v>
      </c>
      <c r="E226">
        <v>391540723489966</v>
      </c>
      <c r="F226">
        <v>14142742856577.801</v>
      </c>
      <c r="G226">
        <v>405683466346544</v>
      </c>
      <c r="H226">
        <v>1736043555602220</v>
      </c>
      <c r="I226">
        <v>2675226634756.6899</v>
      </c>
      <c r="J226">
        <v>1738718782236970</v>
      </c>
      <c r="K226">
        <v>5104118602613480</v>
      </c>
      <c r="L226">
        <v>1013543616413240</v>
      </c>
      <c r="M226">
        <v>6117662219026720</v>
      </c>
      <c r="N226">
        <v>901178199454378</v>
      </c>
      <c r="O226">
        <v>79288039519533.5</v>
      </c>
      <c r="P226">
        <v>980466238973912</v>
      </c>
      <c r="Q226">
        <v>0</v>
      </c>
      <c r="R226">
        <v>0</v>
      </c>
      <c r="S226">
        <v>0</v>
      </c>
      <c r="T226">
        <v>0</v>
      </c>
      <c r="U226">
        <v>0</v>
      </c>
      <c r="V226">
        <v>0</v>
      </c>
      <c r="W226">
        <v>1.07624657317327E+16</v>
      </c>
      <c r="X226">
        <v>1195709910130290</v>
      </c>
      <c r="Y226">
        <v>1.1958175641863E+16</v>
      </c>
      <c r="Z226">
        <v>1.05124945535219E+16</v>
      </c>
      <c r="AA226">
        <v>1202538244423510</v>
      </c>
      <c r="AB226">
        <v>1.17150327979454E+16</v>
      </c>
      <c r="AC226">
        <v>2367203603047240</v>
      </c>
      <c r="AD226">
        <v>82247282693815.5</v>
      </c>
      <c r="AE226">
        <v>2449450885741050</v>
      </c>
      <c r="AF226">
        <v>272728937856752</v>
      </c>
      <c r="AG226">
        <v>5073222311427.0195</v>
      </c>
      <c r="AH226">
        <v>277802160168179</v>
      </c>
      <c r="AI226">
        <v>1882735539316410</v>
      </c>
      <c r="AJ226">
        <v>185258827696913</v>
      </c>
      <c r="AK226">
        <v>2067994367013320</v>
      </c>
      <c r="AL226">
        <v>1934369089090820</v>
      </c>
      <c r="AM226">
        <v>189509557161270</v>
      </c>
      <c r="AN226">
        <v>2123878646252090</v>
      </c>
      <c r="AO226">
        <v>8687259210583170</v>
      </c>
      <c r="AP226">
        <v>1193717891026620</v>
      </c>
      <c r="AQ226">
        <v>9880977101609790</v>
      </c>
      <c r="AR226"/>
      <c r="AS226">
        <f t="shared" si="32"/>
        <v>1.0522907626954192E+16</v>
      </c>
      <c r="AT226">
        <f t="shared" si="32"/>
        <v>1203798556731558.3</v>
      </c>
      <c r="AU226">
        <f t="shared" si="32"/>
        <v>1.172670618368574E+16</v>
      </c>
      <c r="AV226">
        <f t="shared" si="31"/>
        <v>1.0009905425757204</v>
      </c>
      <c r="AW226">
        <f t="shared" si="31"/>
        <v>1.0010480434313775</v>
      </c>
      <c r="AX226">
        <f t="shared" si="31"/>
        <v>1.0009964449900974</v>
      </c>
      <c r="AY226"/>
      <c r="AZ226"/>
      <c r="BA226"/>
      <c r="BB226"/>
      <c r="BC226" s="23"/>
      <c r="BD226"/>
      <c r="BE226"/>
    </row>
    <row r="227" spans="1:57" x14ac:dyDescent="0.3">
      <c r="A227">
        <v>2003</v>
      </c>
      <c r="B227">
        <v>157112775531514</v>
      </c>
      <c r="C227">
        <v>1539267863761.27</v>
      </c>
      <c r="D227">
        <v>158652043395275</v>
      </c>
      <c r="E227">
        <v>396355088903079</v>
      </c>
      <c r="F227">
        <v>14467350139697.9</v>
      </c>
      <c r="G227">
        <v>410822439042777</v>
      </c>
      <c r="H227">
        <v>1779979897064400</v>
      </c>
      <c r="I227">
        <v>2671016588655.7598</v>
      </c>
      <c r="J227">
        <v>1782650913653050</v>
      </c>
      <c r="K227">
        <v>5166085929274520</v>
      </c>
      <c r="L227">
        <v>1038013832330780</v>
      </c>
      <c r="M227">
        <v>6204099761605310</v>
      </c>
      <c r="N227">
        <v>954623450658502</v>
      </c>
      <c r="O227">
        <v>84439430492772.406</v>
      </c>
      <c r="P227">
        <v>1039062881151270</v>
      </c>
      <c r="Q227">
        <v>0</v>
      </c>
      <c r="R227">
        <v>0</v>
      </c>
      <c r="S227">
        <v>0</v>
      </c>
      <c r="T227">
        <v>0</v>
      </c>
      <c r="U227">
        <v>0</v>
      </c>
      <c r="V227">
        <v>0</v>
      </c>
      <c r="W227">
        <v>1.09506164013299E+16</v>
      </c>
      <c r="X227">
        <v>1223385693829270</v>
      </c>
      <c r="Y227">
        <v>1.21740020951592E+16</v>
      </c>
      <c r="Z227">
        <v>1.08296144207919E+16</v>
      </c>
      <c r="AA227">
        <v>1225341292866360</v>
      </c>
      <c r="AB227">
        <v>1.20549557136583E+16</v>
      </c>
      <c r="AC227">
        <v>2382514258743590</v>
      </c>
      <c r="AD227">
        <v>79918190320795.906</v>
      </c>
      <c r="AE227">
        <v>2462432449064390</v>
      </c>
      <c r="AF227">
        <v>281544817211089</v>
      </c>
      <c r="AG227">
        <v>5161406382089.9199</v>
      </c>
      <c r="AH227">
        <v>286706223593179</v>
      </c>
      <c r="AI227">
        <v>1960720601949630</v>
      </c>
      <c r="AJ227">
        <v>193537285998763</v>
      </c>
      <c r="AK227">
        <v>2154257887948400</v>
      </c>
      <c r="AL227">
        <v>1996788798439690</v>
      </c>
      <c r="AM227">
        <v>197036026737572</v>
      </c>
      <c r="AN227">
        <v>2193824825177270</v>
      </c>
      <c r="AO227">
        <v>8957430687540580</v>
      </c>
      <c r="AP227">
        <v>1215519060145670</v>
      </c>
      <c r="AQ227">
        <v>1.01729497476862E+16</v>
      </c>
      <c r="AR227"/>
      <c r="AS227">
        <f t="shared" si="32"/>
        <v>1.0840058862813726E+16</v>
      </c>
      <c r="AT227">
        <f t="shared" si="32"/>
        <v>1226630699129839.8</v>
      </c>
      <c r="AU227">
        <f t="shared" si="32"/>
        <v>1.2066689561943572E+16</v>
      </c>
      <c r="AV227">
        <f t="shared" si="31"/>
        <v>1.000964433415263</v>
      </c>
      <c r="AW227">
        <f t="shared" si="31"/>
        <v>1.0010522833687123</v>
      </c>
      <c r="AX227">
        <f t="shared" si="31"/>
        <v>1.0009733630354176</v>
      </c>
      <c r="AY227"/>
      <c r="AZ227"/>
      <c r="BA227"/>
      <c r="BB227"/>
      <c r="BC227" s="23"/>
      <c r="BD227"/>
      <c r="BE227"/>
    </row>
    <row r="228" spans="1:57" x14ac:dyDescent="0.3">
      <c r="A228">
        <v>2004</v>
      </c>
      <c r="B228">
        <v>-189787795678038</v>
      </c>
      <c r="C228">
        <v>-747385846241.24695</v>
      </c>
      <c r="D228">
        <v>-190535181524279</v>
      </c>
      <c r="E228">
        <v>407449890414763</v>
      </c>
      <c r="F228">
        <v>15262176498500.5</v>
      </c>
      <c r="G228">
        <v>422712066913263</v>
      </c>
      <c r="H228">
        <v>1841887336667030</v>
      </c>
      <c r="I228">
        <v>2699886648018.52</v>
      </c>
      <c r="J228">
        <v>1844587223315050</v>
      </c>
      <c r="K228">
        <v>5244765615538470</v>
      </c>
      <c r="L228">
        <v>1056583846655070</v>
      </c>
      <c r="M228">
        <v>6301349462193540</v>
      </c>
      <c r="N228">
        <v>988302951034312</v>
      </c>
      <c r="O228">
        <v>84894195673816.594</v>
      </c>
      <c r="P228">
        <v>1073197146708120</v>
      </c>
      <c r="Q228">
        <v>0</v>
      </c>
      <c r="R228">
        <v>0</v>
      </c>
      <c r="S228">
        <v>0</v>
      </c>
      <c r="T228">
        <v>0</v>
      </c>
      <c r="U228">
        <v>0</v>
      </c>
      <c r="V228">
        <v>0</v>
      </c>
      <c r="W228">
        <v>1.12939671012146E+16</v>
      </c>
      <c r="X228">
        <v>1245332091584310</v>
      </c>
      <c r="Y228">
        <v>1.25392991927989E+16</v>
      </c>
      <c r="Z228">
        <v>1.15418507118888E+16</v>
      </c>
      <c r="AA228">
        <v>1251913496103360</v>
      </c>
      <c r="AB228">
        <v>1.27937642079921E+16</v>
      </c>
      <c r="AC228">
        <v>2541682438778230</v>
      </c>
      <c r="AD228">
        <v>81290397241017.5</v>
      </c>
      <c r="AE228">
        <v>2622972836019240</v>
      </c>
      <c r="AF228">
        <v>284816146834459</v>
      </c>
      <c r="AG228">
        <v>5293832135022.3203</v>
      </c>
      <c r="AH228">
        <v>290109978969481</v>
      </c>
      <c r="AI228">
        <v>2001421891533620</v>
      </c>
      <c r="AJ228">
        <v>206766885953960</v>
      </c>
      <c r="AK228">
        <v>2208188777487580</v>
      </c>
      <c r="AL228">
        <v>2059542237807240</v>
      </c>
      <c r="AM228">
        <v>212616264710179</v>
      </c>
      <c r="AN228">
        <v>2272158502517420</v>
      </c>
      <c r="AO228">
        <v>9660908272437050</v>
      </c>
      <c r="AP228">
        <v>1240911771957070</v>
      </c>
      <c r="AQ228">
        <v>1.09018200443941E+16</v>
      </c>
      <c r="AR228"/>
      <c r="AS228">
        <f t="shared" si="32"/>
        <v>1.1556812521218924E+16</v>
      </c>
      <c r="AT228">
        <f t="shared" si="32"/>
        <v>1252621099453905.5</v>
      </c>
      <c r="AU228">
        <f t="shared" si="32"/>
        <v>1.2809433620672812E+16</v>
      </c>
      <c r="AV228">
        <f t="shared" si="31"/>
        <v>1.0012963093791114</v>
      </c>
      <c r="AW228">
        <f t="shared" si="31"/>
        <v>1.0005652174473301</v>
      </c>
      <c r="AX228">
        <f t="shared" si="31"/>
        <v>1.0012247695381882</v>
      </c>
      <c r="AY228"/>
      <c r="AZ228"/>
      <c r="BA228"/>
      <c r="BB228"/>
      <c r="BC228" s="23"/>
      <c r="BD228"/>
      <c r="BE228"/>
    </row>
    <row r="229" spans="1:57" x14ac:dyDescent="0.3">
      <c r="A229">
        <v>2005</v>
      </c>
      <c r="B229">
        <v>-52530061054933.5</v>
      </c>
      <c r="C229">
        <v>2680416419425.8999</v>
      </c>
      <c r="D229">
        <v>-49849644635507.602</v>
      </c>
      <c r="E229">
        <v>406579008263366</v>
      </c>
      <c r="F229">
        <v>14661952592406.301</v>
      </c>
      <c r="G229">
        <v>421240960855772</v>
      </c>
      <c r="H229">
        <v>1923797309954440</v>
      </c>
      <c r="I229">
        <v>2415534897886.0098</v>
      </c>
      <c r="J229">
        <v>1926212844852330</v>
      </c>
      <c r="K229">
        <v>5335211491700930</v>
      </c>
      <c r="L229">
        <v>1080575254084170</v>
      </c>
      <c r="M229">
        <v>6415786745785110</v>
      </c>
      <c r="N229">
        <v>1101744683678900</v>
      </c>
      <c r="O229">
        <v>90476298337159.797</v>
      </c>
      <c r="P229">
        <v>1192220982016060</v>
      </c>
      <c r="Q229">
        <v>0</v>
      </c>
      <c r="R229">
        <v>0</v>
      </c>
      <c r="S229">
        <v>0</v>
      </c>
      <c r="T229">
        <v>0</v>
      </c>
      <c r="U229">
        <v>0</v>
      </c>
      <c r="V229">
        <v>0</v>
      </c>
      <c r="W229">
        <v>1.15445092354014E+16</v>
      </c>
      <c r="X229">
        <v>1274380619715370</v>
      </c>
      <c r="Y229">
        <v>1.28188898551167E+16</v>
      </c>
      <c r="Z229">
        <v>1.16884417488995E+16</v>
      </c>
      <c r="AA229">
        <v>1278615486098770</v>
      </c>
      <c r="AB229">
        <v>1.29670572349983E+16</v>
      </c>
      <c r="AC229">
        <v>2516936645872830</v>
      </c>
      <c r="AD229">
        <v>81416703437265.703</v>
      </c>
      <c r="AE229">
        <v>2598353349310100</v>
      </c>
      <c r="AF229">
        <v>279202398506255</v>
      </c>
      <c r="AG229">
        <v>5552606782830.21</v>
      </c>
      <c r="AH229">
        <v>284755005289085</v>
      </c>
      <c r="AI229">
        <v>2141615745442560</v>
      </c>
      <c r="AJ229">
        <v>210719039444864</v>
      </c>
      <c r="AK229">
        <v>2352334784887430</v>
      </c>
      <c r="AL229">
        <v>2233054890398830</v>
      </c>
      <c r="AM229">
        <v>217639342097712</v>
      </c>
      <c r="AN229">
        <v>2450694232496540</v>
      </c>
      <c r="AO229">
        <v>9703204721674460</v>
      </c>
      <c r="AP229">
        <v>1269161081058270</v>
      </c>
      <c r="AQ229">
        <v>1.09723658027327E+16</v>
      </c>
      <c r="AR229"/>
      <c r="AS229">
        <f t="shared" si="32"/>
        <v>1.1707440743987924E+16</v>
      </c>
      <c r="AT229">
        <f t="shared" si="32"/>
        <v>1279338236365140</v>
      </c>
      <c r="AU229">
        <f t="shared" si="32"/>
        <v>1.2986778980353076E+16</v>
      </c>
      <c r="AV229">
        <f t="shared" si="31"/>
        <v>1.001625451492729</v>
      </c>
      <c r="AW229">
        <f t="shared" si="31"/>
        <v>1.000565260059985</v>
      </c>
      <c r="AX229">
        <f t="shared" si="31"/>
        <v>1.0015209114140058</v>
      </c>
      <c r="AY229"/>
      <c r="AZ229"/>
      <c r="BA229"/>
      <c r="BB229"/>
      <c r="BC229" s="23"/>
      <c r="BD229"/>
      <c r="BE229"/>
    </row>
    <row r="230" spans="1:57" x14ac:dyDescent="0.3">
      <c r="A230">
        <v>2006</v>
      </c>
      <c r="B230">
        <v>75616432404388</v>
      </c>
      <c r="C230">
        <v>1196095852195.6899</v>
      </c>
      <c r="D230">
        <v>76812528256583.703</v>
      </c>
      <c r="E230">
        <v>423535800887876</v>
      </c>
      <c r="F230">
        <v>15478005513180.4</v>
      </c>
      <c r="G230">
        <v>439013806401057</v>
      </c>
      <c r="H230">
        <v>1995990457493850</v>
      </c>
      <c r="I230">
        <v>2622038661158.2002</v>
      </c>
      <c r="J230">
        <v>1998612496155010</v>
      </c>
      <c r="K230">
        <v>5420502998415400</v>
      </c>
      <c r="L230">
        <v>1110936313799810</v>
      </c>
      <c r="M230">
        <v>6531439312215220</v>
      </c>
      <c r="N230">
        <v>1250440449301930</v>
      </c>
      <c r="O230">
        <v>92221294434759</v>
      </c>
      <c r="P230">
        <v>1342661743736690</v>
      </c>
      <c r="Q230">
        <v>0</v>
      </c>
      <c r="R230">
        <v>0</v>
      </c>
      <c r="S230">
        <v>0</v>
      </c>
      <c r="T230">
        <v>0</v>
      </c>
      <c r="U230">
        <v>0</v>
      </c>
      <c r="V230">
        <v>0</v>
      </c>
      <c r="W230">
        <v>1.18159679873387E+16</v>
      </c>
      <c r="X230">
        <v>1305828402448840</v>
      </c>
      <c r="Y230">
        <v>1.31217963897875E+16</v>
      </c>
      <c r="Z230">
        <v>1.17896204580923E+16</v>
      </c>
      <c r="AA230">
        <v>1307080920526880</v>
      </c>
      <c r="AB230">
        <v>1.30967013786192E+16</v>
      </c>
      <c r="AC230">
        <v>2468079250484050</v>
      </c>
      <c r="AD230">
        <v>79510380494388.406</v>
      </c>
      <c r="AE230">
        <v>2547589630978440</v>
      </c>
      <c r="AF230">
        <v>278413477549373</v>
      </c>
      <c r="AG230">
        <v>5738734684188.0898</v>
      </c>
      <c r="AH230">
        <v>284152212233561</v>
      </c>
      <c r="AI230">
        <v>2331114703073860</v>
      </c>
      <c r="AJ230">
        <v>217337739036014</v>
      </c>
      <c r="AK230">
        <v>2548452442109870</v>
      </c>
      <c r="AL230">
        <v>2380387952748660</v>
      </c>
      <c r="AM230">
        <v>219803254627755</v>
      </c>
      <c r="AN230">
        <v>2600191207376420</v>
      </c>
      <c r="AO230">
        <v>9653231056745400</v>
      </c>
      <c r="AP230">
        <v>1297130884802730</v>
      </c>
      <c r="AQ230">
        <v>1.09503619415481E+16</v>
      </c>
      <c r="AR230"/>
      <c r="AS230">
        <f t="shared" si="32"/>
        <v>1.181061925140289E+16</v>
      </c>
      <c r="AT230">
        <f t="shared" si="32"/>
        <v>1307776187327029.5</v>
      </c>
      <c r="AU230">
        <f t="shared" si="32"/>
        <v>1.3118395438729944E+16</v>
      </c>
      <c r="AV230">
        <f t="shared" si="31"/>
        <v>1.0017811254726336</v>
      </c>
      <c r="AW230">
        <f t="shared" si="31"/>
        <v>1.000531923302705</v>
      </c>
      <c r="AX230">
        <f t="shared" si="31"/>
        <v>1.0016564522228597</v>
      </c>
      <c r="AY230"/>
      <c r="AZ230"/>
      <c r="BA230"/>
      <c r="BB230"/>
      <c r="BC230" s="23"/>
      <c r="BD230"/>
      <c r="BE230"/>
    </row>
    <row r="231" spans="1:57" x14ac:dyDescent="0.3">
      <c r="A231">
        <v>2007</v>
      </c>
      <c r="B231">
        <v>-61115934628395.602</v>
      </c>
      <c r="C231">
        <v>-448458446404.08398</v>
      </c>
      <c r="D231">
        <v>-61564393074799.703</v>
      </c>
      <c r="E231">
        <v>435478759578445</v>
      </c>
      <c r="F231">
        <v>16580430999458.199</v>
      </c>
      <c r="G231">
        <v>452059190577903</v>
      </c>
      <c r="H231">
        <v>2087595698340260</v>
      </c>
      <c r="I231">
        <v>2676088040188.2202</v>
      </c>
      <c r="J231">
        <v>2090271786380450</v>
      </c>
      <c r="K231">
        <v>5521567992419050</v>
      </c>
      <c r="L231">
        <v>1146915250176030</v>
      </c>
      <c r="M231">
        <v>6668483242595090</v>
      </c>
      <c r="N231">
        <v>1386518348170470</v>
      </c>
      <c r="O231">
        <v>97361916377861.703</v>
      </c>
      <c r="P231">
        <v>1483880264548340</v>
      </c>
      <c r="Q231">
        <v>0</v>
      </c>
      <c r="R231">
        <v>0</v>
      </c>
      <c r="S231">
        <v>0</v>
      </c>
      <c r="T231">
        <v>0</v>
      </c>
      <c r="U231">
        <v>0</v>
      </c>
      <c r="V231">
        <v>0</v>
      </c>
      <c r="W231">
        <v>1.22135096284084E+16</v>
      </c>
      <c r="X231">
        <v>1347126744434440</v>
      </c>
      <c r="Y231">
        <v>1.35606363728429E+16</v>
      </c>
      <c r="Z231">
        <v>1.23062442037185E+16</v>
      </c>
      <c r="AA231">
        <v>1347156245488900</v>
      </c>
      <c r="AB231">
        <v>1.36534004492074E+16</v>
      </c>
      <c r="AC231">
        <v>2520371761659190</v>
      </c>
      <c r="AD231">
        <v>77966628920682</v>
      </c>
      <c r="AE231">
        <v>2598338390579870</v>
      </c>
      <c r="AF231">
        <v>283441163264477</v>
      </c>
      <c r="AG231">
        <v>6209569517591.5596</v>
      </c>
      <c r="AH231">
        <v>289650732782068</v>
      </c>
      <c r="AI231">
        <v>2426592668096620</v>
      </c>
      <c r="AJ231">
        <v>229358282015341</v>
      </c>
      <c r="AK231">
        <v>2655950950111960</v>
      </c>
      <c r="AL231">
        <v>2458221947204860</v>
      </c>
      <c r="AM231">
        <v>228944237389854</v>
      </c>
      <c r="AN231">
        <v>2687166184594710</v>
      </c>
      <c r="AO231">
        <v>1.00865364739304E+16</v>
      </c>
      <c r="AP231">
        <v>1336425579504530</v>
      </c>
      <c r="AQ231">
        <v>1.14229620534349E+16</v>
      </c>
      <c r="AR231"/>
      <c r="AS231">
        <f t="shared" si="32"/>
        <v>1.2327718937168528E+16</v>
      </c>
      <c r="AT231">
        <f t="shared" si="32"/>
        <v>1347744297852728.8</v>
      </c>
      <c r="AU231">
        <f t="shared" si="32"/>
        <v>1.3675463235021272E+16</v>
      </c>
      <c r="AV231">
        <f t="shared" si="31"/>
        <v>1.0017450274100312</v>
      </c>
      <c r="AW231">
        <f t="shared" si="31"/>
        <v>1.0004365138533839</v>
      </c>
      <c r="AX231">
        <f t="shared" si="31"/>
        <v>1.0016159187519584</v>
      </c>
      <c r="AY231"/>
      <c r="AZ231"/>
      <c r="BA231"/>
      <c r="BB231"/>
      <c r="BC231" s="23"/>
      <c r="BD231"/>
      <c r="BE231"/>
    </row>
    <row r="232" spans="1:57" x14ac:dyDescent="0.3">
      <c r="A232">
        <v>2008</v>
      </c>
      <c r="B232">
        <v>-329400299658046</v>
      </c>
      <c r="C232">
        <v>-1579965555293.5701</v>
      </c>
      <c r="D232">
        <v>-330980265213339</v>
      </c>
      <c r="E232">
        <v>470565452739005</v>
      </c>
      <c r="F232">
        <v>17647148437341.699</v>
      </c>
      <c r="G232">
        <v>488212601176346</v>
      </c>
      <c r="H232">
        <v>2049961792245050</v>
      </c>
      <c r="I232">
        <v>2401058535180.0601</v>
      </c>
      <c r="J232">
        <v>2052362850780230</v>
      </c>
      <c r="K232">
        <v>5614964899574350</v>
      </c>
      <c r="L232">
        <v>1171125584998040</v>
      </c>
      <c r="M232">
        <v>6786090484572390</v>
      </c>
      <c r="N232">
        <v>1429101367149510</v>
      </c>
      <c r="O232">
        <v>97756299608888</v>
      </c>
      <c r="P232">
        <v>1526857666758390</v>
      </c>
      <c r="Q232">
        <v>0</v>
      </c>
      <c r="R232">
        <v>0</v>
      </c>
      <c r="S232">
        <v>0</v>
      </c>
      <c r="T232">
        <v>0</v>
      </c>
      <c r="U232">
        <v>0</v>
      </c>
      <c r="V232">
        <v>0</v>
      </c>
      <c r="W232">
        <v>1.25077768227821E+16</v>
      </c>
      <c r="X232">
        <v>1374298497161440</v>
      </c>
      <c r="Y232">
        <v>1.38820753199435E+16</v>
      </c>
      <c r="Z232">
        <v>1.29021182471597E+16</v>
      </c>
      <c r="AA232">
        <v>1379762083663430</v>
      </c>
      <c r="AB232">
        <v>1.42818803308232E+16</v>
      </c>
      <c r="AC232">
        <v>2679126794480580</v>
      </c>
      <c r="AD232">
        <v>79807359251563.797</v>
      </c>
      <c r="AE232">
        <v>2758934153732150</v>
      </c>
      <c r="AF232">
        <v>284778982410421</v>
      </c>
      <c r="AG232">
        <v>6369331360831.6299</v>
      </c>
      <c r="AH232">
        <v>291148313771253</v>
      </c>
      <c r="AI232">
        <v>2488595854167730</v>
      </c>
      <c r="AJ232">
        <v>235243913726826</v>
      </c>
      <c r="AK232">
        <v>2723839767894550</v>
      </c>
      <c r="AL232">
        <v>2553527975555440</v>
      </c>
      <c r="AM232">
        <v>239110691258708</v>
      </c>
      <c r="AN232">
        <v>2792638666814150</v>
      </c>
      <c r="AO232">
        <v>1.07353276992414E+16</v>
      </c>
      <c r="AP232">
        <v>1368426586802830</v>
      </c>
      <c r="AQ232">
        <v>1.21037542860442E+16</v>
      </c>
      <c r="AR232"/>
      <c r="AS232">
        <f t="shared" si="32"/>
        <v>1.292283170964467E+16</v>
      </c>
      <c r="AT232">
        <f t="shared" si="32"/>
        <v>1380553525279020.8</v>
      </c>
      <c r="AU232">
        <f t="shared" si="32"/>
        <v>1.4303385234923698E+16</v>
      </c>
      <c r="AV232">
        <f t="shared" si="31"/>
        <v>1.0016054311461244</v>
      </c>
      <c r="AW232">
        <f t="shared" si="31"/>
        <v>1.0005736073087974</v>
      </c>
      <c r="AX232">
        <f t="shared" si="31"/>
        <v>1.0015057473947662</v>
      </c>
      <c r="AY232"/>
      <c r="AZ232"/>
      <c r="BA232"/>
      <c r="BB232"/>
      <c r="BC232" s="23"/>
      <c r="BD232"/>
      <c r="BE232"/>
    </row>
    <row r="233" spans="1:57" x14ac:dyDescent="0.3">
      <c r="A233">
        <v>2009</v>
      </c>
      <c r="B233">
        <v>-109645796047454</v>
      </c>
      <c r="C233">
        <v>4032560568551.3398</v>
      </c>
      <c r="D233">
        <v>-105613235478903</v>
      </c>
      <c r="E233">
        <v>471326744787025</v>
      </c>
      <c r="F233">
        <v>17516113838827.9</v>
      </c>
      <c r="G233">
        <v>488842858625853</v>
      </c>
      <c r="H233">
        <v>2084677908599620</v>
      </c>
      <c r="I233">
        <v>2540775507770.3701</v>
      </c>
      <c r="J233">
        <v>2087218684107390</v>
      </c>
      <c r="K233">
        <v>5680390762144460</v>
      </c>
      <c r="L233">
        <v>1189520249358530</v>
      </c>
      <c r="M233">
        <v>6869911011503000</v>
      </c>
      <c r="N233">
        <v>1583371693390830</v>
      </c>
      <c r="O233">
        <v>96586408610099.703</v>
      </c>
      <c r="P233">
        <v>1679958102000930</v>
      </c>
      <c r="Q233">
        <v>0</v>
      </c>
      <c r="R233">
        <v>0</v>
      </c>
      <c r="S233">
        <v>0</v>
      </c>
      <c r="T233">
        <v>0</v>
      </c>
      <c r="U233">
        <v>0</v>
      </c>
      <c r="V233">
        <v>0</v>
      </c>
      <c r="W233">
        <v>1.2628423966295E+16</v>
      </c>
      <c r="X233">
        <v>1390912709010300</v>
      </c>
      <c r="Y233">
        <v>1.40193366753053E+16</v>
      </c>
      <c r="Z233">
        <v>1.28296544608828E+16</v>
      </c>
      <c r="AA233">
        <v>1395337706064530</v>
      </c>
      <c r="AB233">
        <v>1.42249921669473E+16</v>
      </c>
      <c r="AC233">
        <v>2544591466531110</v>
      </c>
      <c r="AD233">
        <v>79185693817948.906</v>
      </c>
      <c r="AE233">
        <v>2623777160349050</v>
      </c>
      <c r="AF233">
        <v>285213714060945</v>
      </c>
      <c r="AG233">
        <v>6598345510458.1504</v>
      </c>
      <c r="AH233">
        <v>291812059571403</v>
      </c>
      <c r="AI233">
        <v>2545311468982660</v>
      </c>
      <c r="AJ233">
        <v>234776853083437</v>
      </c>
      <c r="AK233">
        <v>2780088322066100</v>
      </c>
      <c r="AL233">
        <v>2636915101526360</v>
      </c>
      <c r="AM233">
        <v>243238149284625</v>
      </c>
      <c r="AN233">
        <v>2880153250810990</v>
      </c>
      <c r="AO233">
        <v>1.06223474272459E+16</v>
      </c>
      <c r="AP233">
        <v>1384594609405860</v>
      </c>
      <c r="AQ233">
        <v>1.20069420366517E+16</v>
      </c>
      <c r="AR233"/>
      <c r="AS233">
        <f t="shared" si="32"/>
        <v>1.2850821718105142E+16</v>
      </c>
      <c r="AT233">
        <f t="shared" si="32"/>
        <v>1396376322276272</v>
      </c>
      <c r="AU233">
        <f t="shared" si="32"/>
        <v>1.424719804038142E+16</v>
      </c>
      <c r="AV233">
        <f t="shared" si="31"/>
        <v>1.0016498696271892</v>
      </c>
      <c r="AW233">
        <f t="shared" si="31"/>
        <v>1.000744347556314</v>
      </c>
      <c r="AX233">
        <f t="shared" si="31"/>
        <v>1.0015610464437172</v>
      </c>
      <c r="AY233"/>
      <c r="AZ233"/>
      <c r="BA233"/>
      <c r="BB233"/>
      <c r="BC233" s="23"/>
      <c r="BD233"/>
      <c r="BE233"/>
    </row>
    <row r="234" spans="1:57" x14ac:dyDescent="0.3">
      <c r="A234">
        <v>2010</v>
      </c>
      <c r="B234">
        <v>59604267155386</v>
      </c>
      <c r="C234">
        <v>3027648003205.0298</v>
      </c>
      <c r="D234">
        <v>62631915158591</v>
      </c>
      <c r="E234">
        <v>495222917141644</v>
      </c>
      <c r="F234">
        <v>17041725346227.6</v>
      </c>
      <c r="G234">
        <v>512264642487872</v>
      </c>
      <c r="H234">
        <v>2202449904663380</v>
      </c>
      <c r="I234">
        <v>2351013879590.2998</v>
      </c>
      <c r="J234">
        <v>2204800918542970</v>
      </c>
      <c r="K234">
        <v>5790435429171110</v>
      </c>
      <c r="L234">
        <v>1218467665823370</v>
      </c>
      <c r="M234">
        <v>7008903094994490</v>
      </c>
      <c r="N234">
        <v>1709386448678010</v>
      </c>
      <c r="O234">
        <v>94955355927182.594</v>
      </c>
      <c r="P234">
        <v>1804341804605190</v>
      </c>
      <c r="Q234">
        <v>0</v>
      </c>
      <c r="R234">
        <v>0</v>
      </c>
      <c r="S234">
        <v>0</v>
      </c>
      <c r="T234">
        <v>0</v>
      </c>
      <c r="U234">
        <v>0</v>
      </c>
      <c r="V234">
        <v>0</v>
      </c>
      <c r="W234">
        <v>1.30357651100841E+16</v>
      </c>
      <c r="X234">
        <v>1417191267194350</v>
      </c>
      <c r="Y234">
        <v>1.44529563772784E+16</v>
      </c>
      <c r="Z234">
        <v>1.30917047859481E+16</v>
      </c>
      <c r="AA234">
        <v>1423280327967650</v>
      </c>
      <c r="AB234">
        <v>1.45149851139158E+16</v>
      </c>
      <c r="AC234">
        <v>2572722681532430</v>
      </c>
      <c r="AD234">
        <v>78750338538160.594</v>
      </c>
      <c r="AE234">
        <v>2651473020070590</v>
      </c>
      <c r="AF234">
        <v>285327278313667</v>
      </c>
      <c r="AG234">
        <v>6878788344814.5098</v>
      </c>
      <c r="AH234">
        <v>292206066658481</v>
      </c>
      <c r="AI234">
        <v>2673847133852380</v>
      </c>
      <c r="AJ234">
        <v>241838689303754</v>
      </c>
      <c r="AK234">
        <v>2915685823156130</v>
      </c>
      <c r="AL234">
        <v>2789358288103760</v>
      </c>
      <c r="AM234">
        <v>250966364334973</v>
      </c>
      <c r="AN234">
        <v>3040324652438740</v>
      </c>
      <c r="AO234">
        <v>1.0782072563592E+16</v>
      </c>
      <c r="AP234">
        <v>1413109517959670</v>
      </c>
      <c r="AQ234">
        <v>1.21951820815516E+16</v>
      </c>
      <c r="AR234"/>
      <c r="AS234">
        <f t="shared" si="32"/>
        <v>1.3111451546596234E+16</v>
      </c>
      <c r="AT234">
        <f t="shared" si="32"/>
        <v>1424544914887359.3</v>
      </c>
      <c r="AU234">
        <f t="shared" si="32"/>
        <v>1.4535996461483614E+16</v>
      </c>
      <c r="AV234">
        <f t="shared" si="31"/>
        <v>1.0015083414246653</v>
      </c>
      <c r="AW234">
        <f t="shared" si="31"/>
        <v>1.000888501649928</v>
      </c>
      <c r="AX234">
        <f t="shared" si="31"/>
        <v>1.0014475624606511</v>
      </c>
      <c r="AY234"/>
      <c r="AZ234"/>
      <c r="BA234"/>
      <c r="BB234"/>
      <c r="BC234" s="23"/>
      <c r="BD234"/>
      <c r="BE234"/>
    </row>
    <row r="235" spans="1:57" x14ac:dyDescent="0.3">
      <c r="A235">
        <v>2011</v>
      </c>
      <c r="B235">
        <v>-159602766438264</v>
      </c>
      <c r="C235">
        <v>-3332297276821.1201</v>
      </c>
      <c r="D235">
        <v>-162935063715085</v>
      </c>
      <c r="E235">
        <v>539747820306405</v>
      </c>
      <c r="F235">
        <v>17683700839348.301</v>
      </c>
      <c r="G235">
        <v>557431521145753</v>
      </c>
      <c r="H235">
        <v>2295761264647020</v>
      </c>
      <c r="I235">
        <v>2322448478827.9399</v>
      </c>
      <c r="J235">
        <v>2298083713125850</v>
      </c>
      <c r="K235">
        <v>5896543702907330</v>
      </c>
      <c r="L235">
        <v>1239893857599480</v>
      </c>
      <c r="M235">
        <v>7136437560506810</v>
      </c>
      <c r="N235">
        <v>1753149868538310</v>
      </c>
      <c r="O235">
        <v>96462547723386.094</v>
      </c>
      <c r="P235">
        <v>1849612416261700</v>
      </c>
      <c r="Q235">
        <v>0</v>
      </c>
      <c r="R235">
        <v>0</v>
      </c>
      <c r="S235">
        <v>0</v>
      </c>
      <c r="T235">
        <v>0</v>
      </c>
      <c r="U235">
        <v>0</v>
      </c>
      <c r="V235">
        <v>0</v>
      </c>
      <c r="W235">
        <v>1.34593985863337E+16</v>
      </c>
      <c r="X235">
        <v>1443267642308400</v>
      </c>
      <c r="Y235">
        <v>1.49026662286421E+16</v>
      </c>
      <c r="Z235">
        <v>1.37071229235438E+16</v>
      </c>
      <c r="AA235">
        <v>1452014951822530</v>
      </c>
      <c r="AB235">
        <v>1.51591378753663E+16</v>
      </c>
      <c r="AC235">
        <v>2709425564735080</v>
      </c>
      <c r="AD235">
        <v>81296694667941.406</v>
      </c>
      <c r="AE235">
        <v>2790722259403020</v>
      </c>
      <c r="AF235">
        <v>286749992696161</v>
      </c>
      <c r="AG235">
        <v>7043334181965.2695</v>
      </c>
      <c r="AH235">
        <v>293793326878126</v>
      </c>
      <c r="AI235">
        <v>2792305704437760</v>
      </c>
      <c r="AJ235">
        <v>251705066876470</v>
      </c>
      <c r="AK235">
        <v>3044010771314230</v>
      </c>
      <c r="AL235">
        <v>2880421589260180</v>
      </c>
      <c r="AM235">
        <v>257116323407269</v>
      </c>
      <c r="AN235">
        <v>3137537912667450</v>
      </c>
      <c r="AO235">
        <v>1.1289619003479E+16</v>
      </c>
      <c r="AP235">
        <v>1440215418944340</v>
      </c>
      <c r="AQ235">
        <v>1.27298344224234E+16</v>
      </c>
      <c r="AR235"/>
      <c r="AS235">
        <f t="shared" si="32"/>
        <v>1.3729096865090988E+16</v>
      </c>
      <c r="AT235">
        <f t="shared" si="32"/>
        <v>1453446137298569</v>
      </c>
      <c r="AU235">
        <f t="shared" si="32"/>
        <v>1.5182543002389566E+16</v>
      </c>
      <c r="AV235">
        <f t="shared" si="31"/>
        <v>1.0016031038511697</v>
      </c>
      <c r="AW235">
        <f t="shared" si="31"/>
        <v>1.0009856547787215</v>
      </c>
      <c r="AX235">
        <f t="shared" si="31"/>
        <v>1.0015439616167947</v>
      </c>
      <c r="AY235"/>
      <c r="AZ235"/>
      <c r="BA235"/>
      <c r="BB235"/>
      <c r="BC235" s="23"/>
      <c r="BD235"/>
      <c r="BE235"/>
    </row>
    <row r="236" spans="1:57" x14ac:dyDescent="0.3">
      <c r="A236">
        <v>2012</v>
      </c>
      <c r="B236">
        <v>66644399761113.398</v>
      </c>
      <c r="C236">
        <v>1027092077940.46</v>
      </c>
      <c r="D236">
        <v>67671491839053.898</v>
      </c>
      <c r="E236">
        <v>515636975671811</v>
      </c>
      <c r="F236">
        <v>18318761247710.199</v>
      </c>
      <c r="G236">
        <v>533955736919521</v>
      </c>
      <c r="H236">
        <v>2350653052700610</v>
      </c>
      <c r="I236">
        <v>2534605859021.5601</v>
      </c>
      <c r="J236">
        <v>2353187658559630</v>
      </c>
      <c r="K236">
        <v>5965392924440420</v>
      </c>
      <c r="L236">
        <v>1266970304659850</v>
      </c>
      <c r="M236">
        <v>7232363229100280</v>
      </c>
      <c r="N236">
        <v>1836422854940870</v>
      </c>
      <c r="O236">
        <v>101443001929289</v>
      </c>
      <c r="P236">
        <v>1937865856870160</v>
      </c>
      <c r="Q236">
        <v>0</v>
      </c>
      <c r="R236">
        <v>0</v>
      </c>
      <c r="S236">
        <v>0</v>
      </c>
      <c r="T236">
        <v>0</v>
      </c>
      <c r="U236">
        <v>0</v>
      </c>
      <c r="V236">
        <v>0</v>
      </c>
      <c r="W236">
        <v>1.36140576951316E+16</v>
      </c>
      <c r="X236">
        <v>1476787136809460</v>
      </c>
      <c r="Y236">
        <v>1.5090844831941E+16</v>
      </c>
      <c r="Z236">
        <v>1.36746837640294E+16</v>
      </c>
      <c r="AA236">
        <v>1480994165361900</v>
      </c>
      <c r="AB236">
        <v>1.51556779293913E+16</v>
      </c>
      <c r="AC236">
        <v>2687122010835770</v>
      </c>
      <c r="AD236">
        <v>82548874357741.094</v>
      </c>
      <c r="AE236">
        <v>2769670885193510</v>
      </c>
      <c r="AF236">
        <v>291682226144200</v>
      </c>
      <c r="AG236">
        <v>7309213243778.4404</v>
      </c>
      <c r="AH236">
        <v>298991439387978</v>
      </c>
      <c r="AI236">
        <v>2964625437793430</v>
      </c>
      <c r="AJ236">
        <v>262582636255813</v>
      </c>
      <c r="AK236">
        <v>3227208074049250</v>
      </c>
      <c r="AL236">
        <v>3091908264832240</v>
      </c>
      <c r="AM236">
        <v>267813972949670</v>
      </c>
      <c r="AN236">
        <v>3359722237781910</v>
      </c>
      <c r="AO236">
        <v>1.11699141190563E+16</v>
      </c>
      <c r="AP236">
        <v>1470161032502410</v>
      </c>
      <c r="AQ236">
        <v>1.26400751515587E+16</v>
      </c>
      <c r="AR236"/>
      <c r="AS236">
        <f t="shared" si="32"/>
        <v>1.3707548472011378E+16</v>
      </c>
      <c r="AT236">
        <f t="shared" si="32"/>
        <v>1483329005913306.8</v>
      </c>
      <c r="AU236">
        <f t="shared" si="32"/>
        <v>1.5190877477924686E+16</v>
      </c>
      <c r="AV236">
        <f t="shared" si="31"/>
        <v>1.002403324899434</v>
      </c>
      <c r="AW236">
        <f t="shared" si="31"/>
        <v>1.0015765359553839</v>
      </c>
      <c r="AX236">
        <f t="shared" si="31"/>
        <v>1.0023225321029767</v>
      </c>
      <c r="AY236"/>
      <c r="AZ236"/>
      <c r="BA236"/>
      <c r="BB236"/>
      <c r="BC236" s="23"/>
      <c r="BD236"/>
      <c r="BE236"/>
    </row>
    <row r="237" spans="1:57" x14ac:dyDescent="0.3">
      <c r="A237">
        <v>2013</v>
      </c>
      <c r="B237">
        <v>-349318006413204</v>
      </c>
      <c r="C237">
        <v>2571410432970.5298</v>
      </c>
      <c r="D237">
        <v>-346746595980234</v>
      </c>
      <c r="E237">
        <v>539491896676003</v>
      </c>
      <c r="F237">
        <v>18725019513083.398</v>
      </c>
      <c r="G237">
        <v>558216916189087</v>
      </c>
      <c r="H237">
        <v>2363931368063020</v>
      </c>
      <c r="I237">
        <v>2663336521101.5698</v>
      </c>
      <c r="J237">
        <v>2366594704584120</v>
      </c>
      <c r="K237">
        <v>6056085186458740</v>
      </c>
      <c r="L237">
        <v>1283639873796780</v>
      </c>
      <c r="M237">
        <v>7339725060255530</v>
      </c>
      <c r="N237">
        <v>1909222901661170</v>
      </c>
      <c r="O237">
        <v>98819194118792.406</v>
      </c>
      <c r="P237">
        <v>2008042095779960</v>
      </c>
      <c r="Q237">
        <v>0</v>
      </c>
      <c r="R237">
        <v>0</v>
      </c>
      <c r="S237">
        <v>0</v>
      </c>
      <c r="T237">
        <v>0</v>
      </c>
      <c r="U237">
        <v>0</v>
      </c>
      <c r="V237">
        <v>0</v>
      </c>
      <c r="W237">
        <v>1.40736824204348E+16</v>
      </c>
      <c r="X237">
        <v>1491792545560610</v>
      </c>
      <c r="Y237">
        <v>1.55654749659954E+16</v>
      </c>
      <c r="Z237">
        <v>1.45782506201724E+16</v>
      </c>
      <c r="AA237">
        <v>1501425615387590</v>
      </c>
      <c r="AB237">
        <v>1.60796762355599E+16</v>
      </c>
      <c r="AC237">
        <v>2941021643486220</v>
      </c>
      <c r="AD237">
        <v>82452213528070.906</v>
      </c>
      <c r="AE237">
        <v>3023473857014290</v>
      </c>
      <c r="AF237">
        <v>293325442938741</v>
      </c>
      <c r="AG237">
        <v>7541952822762.6602</v>
      </c>
      <c r="AH237">
        <v>300867395761504</v>
      </c>
      <c r="AI237">
        <v>3049535980595590</v>
      </c>
      <c r="AJ237">
        <v>259479983512401</v>
      </c>
      <c r="AK237">
        <v>3309015964107990</v>
      </c>
      <c r="AL237">
        <v>3204789459227730</v>
      </c>
      <c r="AM237">
        <v>271685372698729</v>
      </c>
      <c r="AN237">
        <v>3476474831926460</v>
      </c>
      <c r="AO237">
        <v>1.20432423060037E+16</v>
      </c>
      <c r="AP237">
        <v>1490973215662330</v>
      </c>
      <c r="AQ237">
        <v>1.3534215521666E+16</v>
      </c>
      <c r="AR237"/>
      <c r="AS237">
        <f t="shared" si="32"/>
        <v>1.4607649924329236E+16</v>
      </c>
      <c r="AT237">
        <f t="shared" si="32"/>
        <v>1503475569053948.8</v>
      </c>
      <c r="AU237">
        <f t="shared" si="32"/>
        <v>1.6111125493383194E+16</v>
      </c>
      <c r="AV237">
        <f t="shared" si="31"/>
        <v>1.0020166551476455</v>
      </c>
      <c r="AW237">
        <f t="shared" si="31"/>
        <v>1.0013653381461922</v>
      </c>
      <c r="AX237">
        <f t="shared" si="31"/>
        <v>1.0019558389959211</v>
      </c>
      <c r="AY237"/>
      <c r="AZ237"/>
      <c r="BA237"/>
      <c r="BB237"/>
      <c r="BC237" s="23"/>
      <c r="BD237"/>
      <c r="BE237"/>
    </row>
    <row r="238" spans="1:57" x14ac:dyDescent="0.3">
      <c r="A238"/>
      <c r="B238"/>
      <c r="C238"/>
      <c r="D238"/>
      <c r="E238"/>
      <c r="F238"/>
      <c r="G238"/>
      <c r="H238"/>
      <c r="I238"/>
      <c r="J238"/>
      <c r="K238"/>
      <c r="L238"/>
      <c r="M238"/>
      <c r="N238"/>
      <c r="O238"/>
      <c r="P238"/>
      <c r="Q238"/>
      <c r="R238"/>
      <c r="S238"/>
      <c r="T238"/>
      <c r="U238"/>
      <c r="V238"/>
      <c r="W238"/>
      <c r="X238"/>
      <c r="Y238"/>
      <c r="Z238">
        <f>AO237</f>
        <v>1.20432423060037E+16</v>
      </c>
      <c r="AA238">
        <f>AP237</f>
        <v>1490973215662330</v>
      </c>
      <c r="AB238">
        <f>AQ237</f>
        <v>1.3534215521666E+16</v>
      </c>
      <c r="AC238" t="s">
        <v>522</v>
      </c>
      <c r="AD238"/>
      <c r="AE238"/>
      <c r="AF238"/>
      <c r="AG238"/>
      <c r="AH238"/>
      <c r="AI238"/>
      <c r="AJ238"/>
      <c r="AK238"/>
      <c r="AL238"/>
      <c r="AM238"/>
      <c r="AN238"/>
      <c r="AO238"/>
      <c r="AP238"/>
      <c r="AQ238"/>
      <c r="AR238"/>
      <c r="AS238"/>
      <c r="AT238"/>
      <c r="AU238" t="s">
        <v>536</v>
      </c>
      <c r="AV238">
        <f>AVERAGE(AV226:AV237)</f>
        <v>1.0015991346534767</v>
      </c>
      <c r="AW238">
        <f>AVERAGE(AW226:AW237)</f>
        <v>1.0008611022382359</v>
      </c>
      <c r="AX238">
        <f>AVERAGE(AX226:AX237)</f>
        <v>1.0015270457472794</v>
      </c>
      <c r="AY238"/>
      <c r="AZ238"/>
      <c r="BA238"/>
      <c r="BB238"/>
      <c r="BC238" s="23"/>
      <c r="BD238"/>
      <c r="BE238"/>
    </row>
    <row r="239" spans="1:57" x14ac:dyDescent="0.3">
      <c r="A239"/>
      <c r="B239"/>
      <c r="C239"/>
      <c r="D239"/>
      <c r="E239"/>
      <c r="F239"/>
      <c r="G239"/>
      <c r="H239"/>
      <c r="I239"/>
      <c r="J239"/>
      <c r="K239"/>
      <c r="L239"/>
      <c r="M239"/>
      <c r="N239"/>
      <c r="O239"/>
      <c r="P239"/>
      <c r="Q239"/>
      <c r="R239"/>
      <c r="S239"/>
      <c r="T239"/>
      <c r="U239"/>
      <c r="V239"/>
      <c r="W239"/>
      <c r="X239"/>
      <c r="Y239">
        <v>2013</v>
      </c>
      <c r="Z239">
        <f>Z237-H237</f>
        <v>1.221431925210938E+16</v>
      </c>
      <c r="AA239">
        <f>AA237-I237</f>
        <v>1498762278866488.5</v>
      </c>
      <c r="AB239">
        <f>AB237-J237</f>
        <v>1.371308153097578E+16</v>
      </c>
      <c r="AC239" t="s">
        <v>538</v>
      </c>
      <c r="AD239"/>
      <c r="AE239"/>
      <c r="AF239"/>
      <c r="AG239"/>
      <c r="AH239"/>
      <c r="AI239"/>
      <c r="AJ239"/>
      <c r="AK239"/>
      <c r="AL239"/>
      <c r="AM239"/>
      <c r="AN239"/>
      <c r="AO239"/>
      <c r="AP239"/>
      <c r="AQ239"/>
      <c r="AR239"/>
      <c r="AS239"/>
      <c r="AT239"/>
      <c r="AU239"/>
      <c r="AV239"/>
      <c r="AW239"/>
      <c r="AX239"/>
      <c r="AY239"/>
      <c r="AZ239"/>
      <c r="BA239"/>
      <c r="BB239"/>
      <c r="BC239" s="23"/>
      <c r="BD239"/>
      <c r="BE239"/>
    </row>
    <row r="240" spans="1:57" x14ac:dyDescent="0.3">
      <c r="A240"/>
      <c r="B240"/>
      <c r="C240"/>
      <c r="D240"/>
      <c r="E240"/>
      <c r="F240"/>
      <c r="G240"/>
      <c r="H240"/>
      <c r="I240"/>
      <c r="J240"/>
      <c r="K240"/>
      <c r="L240"/>
      <c r="M240"/>
      <c r="N240"/>
      <c r="O240"/>
      <c r="P240"/>
      <c r="Q240"/>
      <c r="R240"/>
      <c r="S240"/>
      <c r="T240"/>
      <c r="U240"/>
      <c r="V240"/>
      <c r="W240"/>
      <c r="X240"/>
      <c r="Y240"/>
      <c r="Z240" t="s">
        <v>540</v>
      </c>
      <c r="AA240"/>
      <c r="AB240"/>
      <c r="AC240"/>
      <c r="AD240"/>
      <c r="AE240"/>
      <c r="AF240"/>
      <c r="AG240"/>
      <c r="AH240"/>
      <c r="AI240"/>
      <c r="AJ240"/>
      <c r="AK240"/>
      <c r="AL240"/>
      <c r="AM240"/>
      <c r="AN240"/>
      <c r="AO240"/>
      <c r="AP240"/>
      <c r="AQ240"/>
      <c r="AR240"/>
      <c r="AS240"/>
      <c r="AT240"/>
      <c r="AU240"/>
      <c r="AV240"/>
      <c r="AW240"/>
      <c r="AX240"/>
      <c r="AY240"/>
      <c r="AZ240"/>
      <c r="BA240"/>
      <c r="BB240"/>
      <c r="BC240" s="23"/>
      <c r="BD240"/>
      <c r="BE240"/>
    </row>
    <row r="241" spans="1:57" x14ac:dyDescent="0.3">
      <c r="A241"/>
      <c r="B241"/>
      <c r="C241"/>
      <c r="D241"/>
      <c r="E241"/>
      <c r="F241"/>
      <c r="G241"/>
      <c r="H241"/>
      <c r="I241"/>
      <c r="J241"/>
      <c r="K241"/>
      <c r="L241"/>
      <c r="M241"/>
      <c r="N241"/>
      <c r="O241"/>
      <c r="P241"/>
      <c r="Q241"/>
      <c r="R241"/>
      <c r="S241"/>
      <c r="T241"/>
      <c r="U241"/>
      <c r="V241"/>
      <c r="W241"/>
      <c r="X241"/>
      <c r="Y241"/>
      <c r="Z241" t="s">
        <v>544</v>
      </c>
      <c r="AA241"/>
      <c r="AB241"/>
      <c r="AC241"/>
      <c r="AD241"/>
      <c r="AE241"/>
      <c r="AF241"/>
      <c r="AG241"/>
      <c r="AH241"/>
      <c r="AI241"/>
      <c r="AJ241"/>
      <c r="AK241"/>
      <c r="AL241"/>
      <c r="AM241"/>
      <c r="AN241"/>
      <c r="AO241"/>
      <c r="AP241"/>
      <c r="AQ241"/>
      <c r="AR241"/>
      <c r="AS241"/>
      <c r="AT241"/>
      <c r="AU241"/>
      <c r="AV241"/>
      <c r="AW241"/>
      <c r="AX241"/>
      <c r="AY241"/>
      <c r="AZ241"/>
      <c r="BA241"/>
      <c r="BB241"/>
      <c r="BC241" s="23"/>
      <c r="BD241"/>
      <c r="BE241"/>
    </row>
    <row r="242" spans="1:57" x14ac:dyDescent="0.3">
      <c r="A242" t="s">
        <v>553</v>
      </c>
      <c r="B242" s="348" t="s">
        <v>1075</v>
      </c>
      <c r="C242" s="348"/>
      <c r="D242" s="348"/>
      <c r="E242" s="348"/>
      <c r="F242" s="348"/>
      <c r="G242" s="348"/>
      <c r="H242" s="348"/>
      <c r="I242" s="348"/>
      <c r="J242" s="348"/>
      <c r="K242" s="348"/>
      <c r="L242" s="348"/>
      <c r="M242" s="348"/>
      <c r="N242" s="348"/>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s="23"/>
      <c r="BD242"/>
      <c r="BE242"/>
    </row>
    <row r="243" spans="1:57" x14ac:dyDescent="0.3">
      <c r="A243">
        <v>1961</v>
      </c>
      <c r="B243">
        <f t="shared" ref="B243:P258" si="33">(B185-B117)/B117</f>
        <v>-6.3493406084126486E-5</v>
      </c>
      <c r="C243">
        <f t="shared" si="33"/>
        <v>-9.3937540275249682E-4</v>
      </c>
      <c r="D243">
        <f t="shared" si="33"/>
        <v>-1.8959740216039364E-4</v>
      </c>
      <c r="E243">
        <f t="shared" si="33"/>
        <v>8.706372686389808E-4</v>
      </c>
      <c r="F243">
        <f t="shared" si="33"/>
        <v>2.5967280652419034E-3</v>
      </c>
      <c r="G243">
        <f t="shared" si="33"/>
        <v>9.2851117160117178E-4</v>
      </c>
      <c r="H243">
        <f t="shared" si="33"/>
        <v>1.8391147982662258E-6</v>
      </c>
      <c r="I243">
        <f t="shared" si="33"/>
        <v>-5.7348218176358854E-3</v>
      </c>
      <c r="J243">
        <f t="shared" si="33"/>
        <v>-1.1353157031873149E-5</v>
      </c>
      <c r="K243">
        <f t="shared" si="33"/>
        <v>2.2813436811975561E-4</v>
      </c>
      <c r="L243">
        <f t="shared" si="33"/>
        <v>3.9315903174889542E-4</v>
      </c>
      <c r="M243">
        <f t="shared" si="33"/>
        <v>2.5422438512929358E-4</v>
      </c>
      <c r="N243">
        <f t="shared" si="33"/>
        <v>2.4289644561379942E-3</v>
      </c>
      <c r="O243">
        <f t="shared" si="33"/>
        <v>9.1546807724932045E-4</v>
      </c>
      <c r="P243">
        <f t="shared" si="33"/>
        <v>1.9989893887156457E-3</v>
      </c>
      <c r="Q243"/>
      <c r="R243"/>
      <c r="S243"/>
      <c r="T243"/>
      <c r="U243"/>
      <c r="V243"/>
      <c r="W243">
        <f t="shared" ref="W243:AQ255" si="34">(W185-W117)/W117</f>
        <v>1.3771003770615816E-4</v>
      </c>
      <c r="X243">
        <f t="shared" si="34"/>
        <v>3.9654581885987286E-4</v>
      </c>
      <c r="Y243">
        <f t="shared" si="34"/>
        <v>1.6662325544648045E-4</v>
      </c>
      <c r="Z243">
        <f t="shared" si="34"/>
        <v>1.4122900553859748E-5</v>
      </c>
      <c r="AA243">
        <f t="shared" si="34"/>
        <v>1.40368561083329E-4</v>
      </c>
      <c r="AB243">
        <f t="shared" si="34"/>
        <v>2.8329488250102338E-5</v>
      </c>
      <c r="AC243">
        <f t="shared" si="34"/>
        <v>2.6234796205264307E-5</v>
      </c>
      <c r="AD243">
        <f t="shared" si="34"/>
        <v>1.7581170050808757E-4</v>
      </c>
      <c r="AE243">
        <f t="shared" si="34"/>
        <v>3.6483613211093898E-5</v>
      </c>
      <c r="AF243">
        <f t="shared" si="34"/>
        <v>5.5127573391623697E-4</v>
      </c>
      <c r="AG243">
        <f t="shared" si="34"/>
        <v>5.5901208760025575E-3</v>
      </c>
      <c r="AH243">
        <f t="shared" si="34"/>
        <v>5.7220436182950851E-4</v>
      </c>
      <c r="AI243">
        <f t="shared" si="34"/>
        <v>1.5105129750140112E-3</v>
      </c>
      <c r="AJ243">
        <f t="shared" si="34"/>
        <v>3.7634869419829156E-3</v>
      </c>
      <c r="AK243">
        <f t="shared" si="34"/>
        <v>1.7558083633451302E-3</v>
      </c>
      <c r="AL243">
        <f t="shared" si="34"/>
        <v>5.7921319669150984E-4</v>
      </c>
      <c r="AM243">
        <f t="shared" si="34"/>
        <v>1.0461662550765823E-3</v>
      </c>
      <c r="AN243">
        <f t="shared" si="34"/>
        <v>6.326835488981537E-4</v>
      </c>
      <c r="AO243">
        <f t="shared" si="34"/>
        <v>-7.0784775140529587E-6</v>
      </c>
      <c r="AP243">
        <f t="shared" si="34"/>
        <v>1.6324406132111997E-4</v>
      </c>
      <c r="AQ243">
        <f t="shared" si="34"/>
        <v>1.3813306432474052E-5</v>
      </c>
      <c r="AR243"/>
      <c r="AS243" t="s">
        <v>554</v>
      </c>
      <c r="AT243"/>
      <c r="AU243"/>
      <c r="AV243"/>
      <c r="AW243"/>
      <c r="AX243"/>
      <c r="AY243"/>
      <c r="AZ243"/>
      <c r="BA243"/>
      <c r="BB243"/>
      <c r="BC243" s="23"/>
      <c r="BD243"/>
      <c r="BE243"/>
    </row>
    <row r="244" spans="1:57" x14ac:dyDescent="0.3">
      <c r="A244">
        <v>1962</v>
      </c>
      <c r="B244">
        <f t="shared" si="33"/>
        <v>-1.210529513874302E-3</v>
      </c>
      <c r="C244">
        <f t="shared" si="33"/>
        <v>-2.4130847916141794E-3</v>
      </c>
      <c r="D244">
        <f t="shared" si="33"/>
        <v>-1.3150827746743819E-3</v>
      </c>
      <c r="E244">
        <f t="shared" si="33"/>
        <v>1.3496591583720685E-3</v>
      </c>
      <c r="F244">
        <f t="shared" si="33"/>
        <v>2.4992208961423699E-3</v>
      </c>
      <c r="G244">
        <f t="shared" si="33"/>
        <v>1.3870505864010576E-3</v>
      </c>
      <c r="H244">
        <f t="shared" si="33"/>
        <v>3.1081106124748945E-5</v>
      </c>
      <c r="I244">
        <f t="shared" si="33"/>
        <v>-4.8356278430650556E-3</v>
      </c>
      <c r="J244">
        <f t="shared" si="33"/>
        <v>2.0297278908096799E-5</v>
      </c>
      <c r="K244">
        <f t="shared" si="33"/>
        <v>2.148050861062746E-4</v>
      </c>
      <c r="L244">
        <f t="shared" si="33"/>
        <v>3.5109820202343492E-4</v>
      </c>
      <c r="M244">
        <f t="shared" si="33"/>
        <v>2.3616362933992152E-4</v>
      </c>
      <c r="N244">
        <f t="shared" si="33"/>
        <v>5.5327183869548365E-4</v>
      </c>
      <c r="O244">
        <f t="shared" si="33"/>
        <v>4.8905665841323092E-4</v>
      </c>
      <c r="P244">
        <f t="shared" si="33"/>
        <v>5.3408565150098489E-4</v>
      </c>
      <c r="Q244"/>
      <c r="R244"/>
      <c r="S244"/>
      <c r="T244"/>
      <c r="U244"/>
      <c r="V244"/>
      <c r="W244">
        <f t="shared" si="34"/>
        <v>1.0123641624771543E-4</v>
      </c>
      <c r="X244">
        <f t="shared" si="34"/>
        <v>3.0906751894200748E-4</v>
      </c>
      <c r="Y244">
        <f t="shared" si="34"/>
        <v>1.2434925968714383E-4</v>
      </c>
      <c r="Z244">
        <f t="shared" si="34"/>
        <v>-2.567252077921748E-5</v>
      </c>
      <c r="AA244">
        <f t="shared" si="34"/>
        <v>1.5506664623918378E-4</v>
      </c>
      <c r="AB244">
        <f t="shared" si="34"/>
        <v>-5.5414122072691853E-6</v>
      </c>
      <c r="AC244">
        <f t="shared" si="34"/>
        <v>-1.5404991891341032E-5</v>
      </c>
      <c r="AD244">
        <f t="shared" si="34"/>
        <v>1.6862438668242648E-4</v>
      </c>
      <c r="AE244">
        <f t="shared" si="34"/>
        <v>-2.8799493018931901E-6</v>
      </c>
      <c r="AF244">
        <f t="shared" si="34"/>
        <v>6.0598686045825508E-4</v>
      </c>
      <c r="AG244">
        <f t="shared" si="34"/>
        <v>5.240734483035631E-3</v>
      </c>
      <c r="AH244">
        <f t="shared" si="34"/>
        <v>6.2475191939686842E-4</v>
      </c>
      <c r="AI244">
        <f t="shared" si="34"/>
        <v>1.2372915058389488E-3</v>
      </c>
      <c r="AJ244">
        <f t="shared" si="34"/>
        <v>3.2959366752777133E-3</v>
      </c>
      <c r="AK244">
        <f t="shared" si="34"/>
        <v>1.4681788902674746E-3</v>
      </c>
      <c r="AL244">
        <f t="shared" si="34"/>
        <v>4.4679812202421044E-4</v>
      </c>
      <c r="AM244">
        <f t="shared" si="34"/>
        <v>1.4495187796054153E-3</v>
      </c>
      <c r="AN244">
        <f t="shared" si="34"/>
        <v>5.6316331005511232E-4</v>
      </c>
      <c r="AO244">
        <f t="shared" si="34"/>
        <v>-6.1139020287886573E-6</v>
      </c>
      <c r="AP244">
        <f t="shared" si="34"/>
        <v>1.9615137617143779E-4</v>
      </c>
      <c r="AQ244">
        <f t="shared" si="34"/>
        <v>1.8307631709999671E-5</v>
      </c>
      <c r="AR244"/>
      <c r="AS244" t="s">
        <v>555</v>
      </c>
      <c r="AT244"/>
      <c r="AU244"/>
      <c r="AV244"/>
      <c r="AW244"/>
      <c r="AX244"/>
      <c r="AY244"/>
      <c r="AZ244"/>
      <c r="BA244"/>
      <c r="BB244"/>
      <c r="BC244" s="23"/>
      <c r="BD244"/>
      <c r="BE244"/>
    </row>
    <row r="245" spans="1:57" x14ac:dyDescent="0.3">
      <c r="A245">
        <v>1963</v>
      </c>
      <c r="B245">
        <f t="shared" si="33"/>
        <v>-2.4234418561320139E-3</v>
      </c>
      <c r="C245">
        <f t="shared" si="33"/>
        <v>-1.8202018879212592E-2</v>
      </c>
      <c r="D245">
        <f t="shared" si="33"/>
        <v>-1.5512170168286022E-3</v>
      </c>
      <c r="E245">
        <f t="shared" si="33"/>
        <v>9.2001427595571133E-4</v>
      </c>
      <c r="F245">
        <f t="shared" si="33"/>
        <v>8.5122388954611073E-4</v>
      </c>
      <c r="G245">
        <f t="shared" si="33"/>
        <v>9.178820056116719E-4</v>
      </c>
      <c r="H245">
        <f t="shared" si="33"/>
        <v>7.8410219770595053E-6</v>
      </c>
      <c r="I245">
        <f t="shared" si="33"/>
        <v>3.6554181063990529E-3</v>
      </c>
      <c r="J245">
        <f t="shared" si="33"/>
        <v>1.4706960884309875E-5</v>
      </c>
      <c r="K245">
        <f t="shared" si="33"/>
        <v>1.9413561483947367E-4</v>
      </c>
      <c r="L245">
        <f t="shared" si="33"/>
        <v>2.216541241926847E-4</v>
      </c>
      <c r="M245">
        <f t="shared" si="33"/>
        <v>1.9850838216570868E-4</v>
      </c>
      <c r="N245">
        <f t="shared" si="33"/>
        <v>6.9505587386433081E-4</v>
      </c>
      <c r="O245">
        <f t="shared" si="33"/>
        <v>9.0354483522158259E-4</v>
      </c>
      <c r="P245">
        <f t="shared" si="33"/>
        <v>7.5444196144810376E-4</v>
      </c>
      <c r="Q245"/>
      <c r="R245"/>
      <c r="S245"/>
      <c r="T245"/>
      <c r="U245"/>
      <c r="V245"/>
      <c r="W245">
        <f t="shared" si="34"/>
        <v>9.8690897766051623E-5</v>
      </c>
      <c r="X245">
        <f t="shared" si="34"/>
        <v>1.043985131309914E-4</v>
      </c>
      <c r="Y245">
        <f t="shared" si="34"/>
        <v>9.9323500242667315E-5</v>
      </c>
      <c r="Z245">
        <f t="shared" si="34"/>
        <v>-4.5663460361614389E-6</v>
      </c>
      <c r="AA245">
        <f t="shared" si="34"/>
        <v>8.2601158294806818E-5</v>
      </c>
      <c r="AB245">
        <f t="shared" si="34"/>
        <v>5.1059044548977837E-6</v>
      </c>
      <c r="AC245">
        <f t="shared" si="34"/>
        <v>-1.3511984179991508E-5</v>
      </c>
      <c r="AD245">
        <f t="shared" si="34"/>
        <v>-6.2142866011006507E-5</v>
      </c>
      <c r="AE245">
        <f t="shared" si="34"/>
        <v>-1.6634902392366757E-5</v>
      </c>
      <c r="AF245">
        <f t="shared" si="34"/>
        <v>6.1840855500502911E-4</v>
      </c>
      <c r="AG245">
        <f t="shared" si="34"/>
        <v>7.9837881630960526E-3</v>
      </c>
      <c r="AH245">
        <f t="shared" si="34"/>
        <v>6.4906800821328762E-4</v>
      </c>
      <c r="AI245">
        <f t="shared" si="34"/>
        <v>1.314077725491965E-3</v>
      </c>
      <c r="AJ245">
        <f t="shared" si="34"/>
        <v>1.7247902038934782E-3</v>
      </c>
      <c r="AK245">
        <f t="shared" si="34"/>
        <v>1.3625378111820751E-3</v>
      </c>
      <c r="AL245">
        <f t="shared" si="34"/>
        <v>5.1220000032793135E-4</v>
      </c>
      <c r="AM245">
        <f t="shared" si="34"/>
        <v>1.3628462508098774E-3</v>
      </c>
      <c r="AN245">
        <f t="shared" si="34"/>
        <v>6.1673282144719297E-4</v>
      </c>
      <c r="AO245">
        <f t="shared" si="34"/>
        <v>-1.3255676508247328E-5</v>
      </c>
      <c r="AP245">
        <f t="shared" si="34"/>
        <v>1.1937817995449349E-4</v>
      </c>
      <c r="AQ245">
        <f t="shared" si="34"/>
        <v>2.7858882006282836E-6</v>
      </c>
      <c r="AR245"/>
      <c r="AS245" t="s">
        <v>556</v>
      </c>
      <c r="AT245"/>
      <c r="AU245"/>
      <c r="AV245"/>
      <c r="AW245"/>
      <c r="AX245"/>
      <c r="AY245"/>
      <c r="AZ245"/>
      <c r="BA245"/>
      <c r="BB245"/>
      <c r="BC245" s="23"/>
      <c r="BD245"/>
      <c r="BE245"/>
    </row>
    <row r="246" spans="1:57" x14ac:dyDescent="0.3">
      <c r="A246">
        <v>1964</v>
      </c>
      <c r="B246">
        <f t="shared" si="33"/>
        <v>1.1878735339557104E-4</v>
      </c>
      <c r="C246">
        <f t="shared" si="33"/>
        <v>6.4688212459448175E-5</v>
      </c>
      <c r="D246">
        <f t="shared" si="33"/>
        <v>1.1829267578534202E-4</v>
      </c>
      <c r="E246">
        <f t="shared" si="33"/>
        <v>8.8571948092318689E-4</v>
      </c>
      <c r="F246">
        <f t="shared" si="33"/>
        <v>3.4432742925764302E-3</v>
      </c>
      <c r="G246">
        <f t="shared" si="33"/>
        <v>9.6032565558351927E-4</v>
      </c>
      <c r="H246">
        <f t="shared" si="33"/>
        <v>2.7602586476288138E-5</v>
      </c>
      <c r="I246">
        <f t="shared" si="33"/>
        <v>2.8999922989455959E-4</v>
      </c>
      <c r="J246">
        <f t="shared" si="33"/>
        <v>2.8140272744100239E-5</v>
      </c>
      <c r="K246">
        <f t="shared" si="33"/>
        <v>1.5757931074181382E-4</v>
      </c>
      <c r="L246">
        <f t="shared" si="33"/>
        <v>1.9015964138779779E-4</v>
      </c>
      <c r="M246">
        <f t="shared" si="33"/>
        <v>1.6267986463749489E-4</v>
      </c>
      <c r="N246">
        <f t="shared" si="33"/>
        <v>1.3833689088085974E-3</v>
      </c>
      <c r="O246">
        <f t="shared" si="33"/>
        <v>-3.4284824007963226E-4</v>
      </c>
      <c r="P246">
        <f t="shared" si="33"/>
        <v>9.1421234653611531E-4</v>
      </c>
      <c r="Q246"/>
      <c r="R246"/>
      <c r="S246"/>
      <c r="T246"/>
      <c r="U246"/>
      <c r="V246"/>
      <c r="W246">
        <f t="shared" si="34"/>
        <v>1.2711570898428498E-4</v>
      </c>
      <c r="X246">
        <f t="shared" si="34"/>
        <v>1.1219764675166565E-4</v>
      </c>
      <c r="Y246">
        <f t="shared" si="34"/>
        <v>1.2549752426065956E-4</v>
      </c>
      <c r="Z246">
        <f t="shared" si="34"/>
        <v>1.9998498143183882E-5</v>
      </c>
      <c r="AA246">
        <f t="shared" si="34"/>
        <v>-2.7444028687055854E-5</v>
      </c>
      <c r="AB246">
        <f t="shared" si="34"/>
        <v>1.4890361127996069E-5</v>
      </c>
      <c r="AC246">
        <f t="shared" si="34"/>
        <v>1.2833268070341186E-5</v>
      </c>
      <c r="AD246">
        <f t="shared" si="34"/>
        <v>2.8127930322443469E-5</v>
      </c>
      <c r="AE246">
        <f t="shared" si="34"/>
        <v>1.381752985576786E-5</v>
      </c>
      <c r="AF246">
        <f t="shared" si="34"/>
        <v>6.5454241922472387E-4</v>
      </c>
      <c r="AG246">
        <f t="shared" si="34"/>
        <v>2.012812253394987E-3</v>
      </c>
      <c r="AH246">
        <f t="shared" si="34"/>
        <v>6.605093761392777E-4</v>
      </c>
      <c r="AI246">
        <f t="shared" si="34"/>
        <v>1.3450834733784659E-3</v>
      </c>
      <c r="AJ246">
        <f t="shared" si="34"/>
        <v>1.8873561282220829E-3</v>
      </c>
      <c r="AK246">
        <f t="shared" si="34"/>
        <v>1.4095988147093969E-3</v>
      </c>
      <c r="AL246">
        <f t="shared" si="34"/>
        <v>5.7981620623080992E-4</v>
      </c>
      <c r="AM246">
        <f t="shared" si="34"/>
        <v>1.2786764094704015E-3</v>
      </c>
      <c r="AN246">
        <f t="shared" si="34"/>
        <v>6.6529372832710312E-4</v>
      </c>
      <c r="AO246">
        <f t="shared" si="34"/>
        <v>-1.0410353688237434E-5</v>
      </c>
      <c r="AP246">
        <f t="shared" si="34"/>
        <v>2.653511851598668E-5</v>
      </c>
      <c r="AQ246">
        <f t="shared" si="34"/>
        <v>-6.0689558513033757E-6</v>
      </c>
      <c r="AR246"/>
      <c r="AS246"/>
      <c r="AT246"/>
      <c r="AU246"/>
      <c r="AV246"/>
      <c r="AW246"/>
      <c r="AX246"/>
      <c r="AY246"/>
      <c r="AZ246"/>
      <c r="BA246"/>
      <c r="BB246"/>
      <c r="BC246" s="23"/>
      <c r="BD246"/>
      <c r="BE246"/>
    </row>
    <row r="247" spans="1:57" x14ac:dyDescent="0.3">
      <c r="A247">
        <v>1965</v>
      </c>
      <c r="B247">
        <f t="shared" si="33"/>
        <v>-1.605824088879955E-4</v>
      </c>
      <c r="C247">
        <f t="shared" si="33"/>
        <v>-5.6868531977463718E-3</v>
      </c>
      <c r="D247">
        <f t="shared" si="33"/>
        <v>-3.2618457871634791E-5</v>
      </c>
      <c r="E247">
        <f t="shared" si="33"/>
        <v>1.1158403258655775E-3</v>
      </c>
      <c r="F247">
        <f t="shared" si="33"/>
        <v>-1.9986077239804082E-4</v>
      </c>
      <c r="G247">
        <f t="shared" si="33"/>
        <v>1.0749055967993731E-3</v>
      </c>
      <c r="H247">
        <f t="shared" si="33"/>
        <v>1.0054882035556988E-4</v>
      </c>
      <c r="I247">
        <f t="shared" si="33"/>
        <v>2.1428341374018028E-3</v>
      </c>
      <c r="J247">
        <f t="shared" si="33"/>
        <v>1.0410817642606936E-4</v>
      </c>
      <c r="K247">
        <f t="shared" si="33"/>
        <v>1.8559244137720515E-4</v>
      </c>
      <c r="L247">
        <f t="shared" si="33"/>
        <v>2.0341491979619547E-4</v>
      </c>
      <c r="M247">
        <f t="shared" si="33"/>
        <v>1.8837839509777549E-4</v>
      </c>
      <c r="N247">
        <f t="shared" si="33"/>
        <v>1.4014839916324501E-4</v>
      </c>
      <c r="O247">
        <f t="shared" si="33"/>
        <v>5.5675309919835114E-4</v>
      </c>
      <c r="P247">
        <f t="shared" si="33"/>
        <v>2.389807014139259E-4</v>
      </c>
      <c r="Q247"/>
      <c r="R247"/>
      <c r="S247"/>
      <c r="T247"/>
      <c r="U247"/>
      <c r="V247"/>
      <c r="W247">
        <f t="shared" si="34"/>
        <v>9.2669682622604956E-5</v>
      </c>
      <c r="X247">
        <f t="shared" si="34"/>
        <v>7.7155086045393455E-5</v>
      </c>
      <c r="Y247">
        <f t="shared" si="34"/>
        <v>9.0999291524819883E-5</v>
      </c>
      <c r="Z247">
        <f t="shared" si="34"/>
        <v>-1.5457179115564819E-5</v>
      </c>
      <c r="AA247">
        <f t="shared" si="34"/>
        <v>2.5054937569522989E-5</v>
      </c>
      <c r="AB247">
        <f t="shared" si="34"/>
        <v>-1.0975353146227512E-5</v>
      </c>
      <c r="AC247">
        <f t="shared" si="34"/>
        <v>3.0729658769568142E-5</v>
      </c>
      <c r="AD247">
        <f t="shared" si="34"/>
        <v>2.5737411748445076E-4</v>
      </c>
      <c r="AE247">
        <f t="shared" si="34"/>
        <v>4.5302561431834421E-5</v>
      </c>
      <c r="AF247">
        <f t="shared" si="34"/>
        <v>4.7887348680774244E-4</v>
      </c>
      <c r="AG247">
        <f t="shared" si="34"/>
        <v>6.7828779162782873E-3</v>
      </c>
      <c r="AH247">
        <f t="shared" si="34"/>
        <v>5.0869295176553351E-4</v>
      </c>
      <c r="AI247">
        <f t="shared" si="34"/>
        <v>1.0871479514134293E-3</v>
      </c>
      <c r="AJ247">
        <f t="shared" si="34"/>
        <v>1.6195462146415302E-3</v>
      </c>
      <c r="AK247">
        <f t="shared" si="34"/>
        <v>1.1460819670456388E-3</v>
      </c>
      <c r="AL247">
        <f t="shared" si="34"/>
        <v>3.2844115053660766E-4</v>
      </c>
      <c r="AM247">
        <f t="shared" si="34"/>
        <v>5.1951946509314105E-4</v>
      </c>
      <c r="AN247">
        <f t="shared" si="34"/>
        <v>3.5074255933531556E-4</v>
      </c>
      <c r="AO247">
        <f t="shared" si="34"/>
        <v>-1.4249855918952032E-5</v>
      </c>
      <c r="AP247">
        <f t="shared" si="34"/>
        <v>9.6456050718179384E-5</v>
      </c>
      <c r="AQ247">
        <f t="shared" si="34"/>
        <v>-8.1575543412845202E-7</v>
      </c>
      <c r="AR247"/>
      <c r="AS247"/>
      <c r="AT247"/>
      <c r="AU247"/>
      <c r="AV247"/>
      <c r="AW247"/>
      <c r="AX247"/>
      <c r="AY247"/>
      <c r="AZ247"/>
      <c r="BA247"/>
      <c r="BB247"/>
      <c r="BC247" s="23"/>
      <c r="BD247"/>
      <c r="BE247"/>
    </row>
    <row r="248" spans="1:57" x14ac:dyDescent="0.3">
      <c r="A248">
        <v>1966</v>
      </c>
      <c r="B248">
        <f t="shared" si="33"/>
        <v>-4.9898138115184371E-4</v>
      </c>
      <c r="C248">
        <f t="shared" si="33"/>
        <v>1.7231074936925128E-4</v>
      </c>
      <c r="D248">
        <f t="shared" si="33"/>
        <v>-4.5173353123338796E-4</v>
      </c>
      <c r="E248">
        <f t="shared" si="33"/>
        <v>8.4957673916156507E-4</v>
      </c>
      <c r="F248">
        <f t="shared" si="33"/>
        <v>9.1300857936055962E-4</v>
      </c>
      <c r="G248">
        <f t="shared" si="33"/>
        <v>8.5156533663473125E-4</v>
      </c>
      <c r="H248">
        <f t="shared" si="33"/>
        <v>9.6571042381769217E-5</v>
      </c>
      <c r="I248">
        <f t="shared" si="33"/>
        <v>8.2675777667288444E-4</v>
      </c>
      <c r="J248">
        <f t="shared" si="33"/>
        <v>9.766054202678268E-5</v>
      </c>
      <c r="K248">
        <f t="shared" si="33"/>
        <v>1.8877209090249747E-4</v>
      </c>
      <c r="L248">
        <f t="shared" si="33"/>
        <v>2.6776624936793869E-4</v>
      </c>
      <c r="M248">
        <f t="shared" si="33"/>
        <v>2.0117131255623536E-4</v>
      </c>
      <c r="N248">
        <f t="shared" si="33"/>
        <v>7.1141233213306413E-4</v>
      </c>
      <c r="O248">
        <f t="shared" si="33"/>
        <v>5.2692897752449361E-4</v>
      </c>
      <c r="P248">
        <f t="shared" si="33"/>
        <v>6.6208250990118912E-4</v>
      </c>
      <c r="Q248"/>
      <c r="R248"/>
      <c r="S248"/>
      <c r="T248"/>
      <c r="U248"/>
      <c r="V248"/>
      <c r="W248">
        <f t="shared" si="34"/>
        <v>1.0813943315116523E-4</v>
      </c>
      <c r="X248">
        <f t="shared" si="34"/>
        <v>2.0113917990557042E-4</v>
      </c>
      <c r="Y248">
        <f t="shared" si="34"/>
        <v>1.1815790536165122E-4</v>
      </c>
      <c r="Z248">
        <f t="shared" si="34"/>
        <v>1.349967914892888E-6</v>
      </c>
      <c r="AA248">
        <f t="shared" si="34"/>
        <v>1.5781678447514182E-4</v>
      </c>
      <c r="AB248">
        <f t="shared" si="34"/>
        <v>1.824572228058435E-5</v>
      </c>
      <c r="AC248">
        <f t="shared" si="34"/>
        <v>-1.524210312171757E-5</v>
      </c>
      <c r="AD248">
        <f t="shared" si="34"/>
        <v>1.1135680976352923E-4</v>
      </c>
      <c r="AE248">
        <f t="shared" si="34"/>
        <v>-7.323423070960067E-6</v>
      </c>
      <c r="AF248">
        <f t="shared" si="34"/>
        <v>3.7917333274802934E-4</v>
      </c>
      <c r="AG248">
        <f t="shared" si="34"/>
        <v>4.5356412230709367E-3</v>
      </c>
      <c r="AH248">
        <f t="shared" si="34"/>
        <v>3.9989440413832315E-4</v>
      </c>
      <c r="AI248">
        <f t="shared" si="34"/>
        <v>1.1150459556746549E-3</v>
      </c>
      <c r="AJ248">
        <f t="shared" si="34"/>
        <v>1.8552059552100553E-3</v>
      </c>
      <c r="AK248">
        <f t="shared" si="34"/>
        <v>1.1931709216226791E-3</v>
      </c>
      <c r="AL248">
        <f t="shared" si="34"/>
        <v>3.3963727512254476E-4</v>
      </c>
      <c r="AM248">
        <f t="shared" si="34"/>
        <v>6.7342954644379008E-4</v>
      </c>
      <c r="AN248">
        <f t="shared" si="34"/>
        <v>3.7703685599125799E-4</v>
      </c>
      <c r="AO248">
        <f t="shared" si="34"/>
        <v>-1.2142183549200277E-5</v>
      </c>
      <c r="AP248">
        <f t="shared" si="34"/>
        <v>1.5930496399797585E-4</v>
      </c>
      <c r="AQ248">
        <f t="shared" si="34"/>
        <v>8.093261327132836E-6</v>
      </c>
      <c r="AR248"/>
      <c r="AS248"/>
      <c r="AT248"/>
      <c r="AU248"/>
      <c r="AV248"/>
      <c r="AW248"/>
      <c r="AX248"/>
      <c r="AY248"/>
      <c r="AZ248"/>
      <c r="BA248"/>
      <c r="BB248"/>
      <c r="BC248" s="23"/>
      <c r="BD248"/>
      <c r="BE248"/>
    </row>
    <row r="249" spans="1:57" x14ac:dyDescent="0.3">
      <c r="A249">
        <v>1967</v>
      </c>
      <c r="B249">
        <f t="shared" si="33"/>
        <v>5.0981632201682042E-5</v>
      </c>
      <c r="C249">
        <f t="shared" si="33"/>
        <v>-4.1704237761243769E-3</v>
      </c>
      <c r="D249">
        <f t="shared" si="33"/>
        <v>-1.5887059514261371E-4</v>
      </c>
      <c r="E249">
        <f t="shared" si="33"/>
        <v>8.0747897252294871E-4</v>
      </c>
      <c r="F249">
        <f t="shared" si="33"/>
        <v>2.7839792989151381E-3</v>
      </c>
      <c r="G249">
        <f t="shared" si="33"/>
        <v>8.7238245924978555E-4</v>
      </c>
      <c r="H249">
        <f t="shared" si="33"/>
        <v>5.7292923348886059E-5</v>
      </c>
      <c r="I249">
        <f t="shared" si="33"/>
        <v>-1.5815705804382456E-2</v>
      </c>
      <c r="J249">
        <f t="shared" si="33"/>
        <v>3.4930001897410891E-5</v>
      </c>
      <c r="K249">
        <f t="shared" si="33"/>
        <v>1.9823956441134246E-4</v>
      </c>
      <c r="L249">
        <f t="shared" si="33"/>
        <v>1.0032215038800602E-4</v>
      </c>
      <c r="M249">
        <f t="shared" si="33"/>
        <v>1.8265957453213354E-4</v>
      </c>
      <c r="N249">
        <f t="shared" si="33"/>
        <v>1.1480755548771099E-3</v>
      </c>
      <c r="O249">
        <f t="shared" si="33"/>
        <v>-3.0677979847777871E-5</v>
      </c>
      <c r="P249">
        <f t="shared" si="33"/>
        <v>8.1911016019928966E-4</v>
      </c>
      <c r="Q249"/>
      <c r="R249"/>
      <c r="S249"/>
      <c r="T249"/>
      <c r="U249"/>
      <c r="V249"/>
      <c r="W249">
        <f t="shared" si="34"/>
        <v>1.0758917179331169E-4</v>
      </c>
      <c r="X249">
        <f t="shared" si="34"/>
        <v>2.3245911880617198E-5</v>
      </c>
      <c r="Y249">
        <f t="shared" si="34"/>
        <v>9.8396541759637041E-5</v>
      </c>
      <c r="Z249">
        <f t="shared" si="34"/>
        <v>8.98914820836953E-7</v>
      </c>
      <c r="AA249">
        <f t="shared" si="34"/>
        <v>3.9751997948622549E-5</v>
      </c>
      <c r="AB249">
        <f t="shared" si="34"/>
        <v>5.1132547765696272E-6</v>
      </c>
      <c r="AC249">
        <f t="shared" si="34"/>
        <v>1.2354432996627621E-5</v>
      </c>
      <c r="AD249">
        <f t="shared" si="34"/>
        <v>-2.4539957775548145E-5</v>
      </c>
      <c r="AE249">
        <f t="shared" si="34"/>
        <v>1.0078181147657601E-5</v>
      </c>
      <c r="AF249">
        <f t="shared" si="34"/>
        <v>5.8473707595210148E-4</v>
      </c>
      <c r="AG249">
        <f t="shared" si="34"/>
        <v>7.0974947846497872E-3</v>
      </c>
      <c r="AH249">
        <f t="shared" si="34"/>
        <v>6.1743686902378822E-4</v>
      </c>
      <c r="AI249">
        <f t="shared" si="34"/>
        <v>1.2663291774973079E-3</v>
      </c>
      <c r="AJ249">
        <f t="shared" si="34"/>
        <v>2.2740490765974578E-3</v>
      </c>
      <c r="AK249">
        <f t="shared" si="34"/>
        <v>1.3851494322852792E-3</v>
      </c>
      <c r="AL249">
        <f t="shared" si="34"/>
        <v>5.8084349446787132E-4</v>
      </c>
      <c r="AM249">
        <f t="shared" si="34"/>
        <v>4.9371328473719076E-4</v>
      </c>
      <c r="AN249">
        <f t="shared" si="34"/>
        <v>5.6991291772165486E-4</v>
      </c>
      <c r="AO249">
        <f t="shared" si="34"/>
        <v>-1.0607682218868734E-5</v>
      </c>
      <c r="AP249">
        <f t="shared" si="34"/>
        <v>3.986740174962203E-5</v>
      </c>
      <c r="AQ249">
        <f t="shared" si="34"/>
        <v>-4.65038375260835E-6</v>
      </c>
      <c r="AR249"/>
      <c r="AS249"/>
      <c r="AT249"/>
      <c r="AU249"/>
      <c r="AV249"/>
      <c r="AW249"/>
      <c r="AX249"/>
      <c r="AY249"/>
      <c r="AZ249"/>
      <c r="BA249"/>
      <c r="BB249"/>
      <c r="BC249" s="23"/>
      <c r="BD249"/>
      <c r="BE249"/>
    </row>
    <row r="250" spans="1:57" x14ac:dyDescent="0.3">
      <c r="A250">
        <v>1968</v>
      </c>
      <c r="B250">
        <f t="shared" si="33"/>
        <v>-1.0417565590240391E-4</v>
      </c>
      <c r="C250">
        <f t="shared" si="33"/>
        <v>4.746353292680198E-4</v>
      </c>
      <c r="D250">
        <f t="shared" si="33"/>
        <v>-1.139730826629537E-4</v>
      </c>
      <c r="E250">
        <f t="shared" si="33"/>
        <v>7.858269301578649E-4</v>
      </c>
      <c r="F250">
        <f t="shared" si="33"/>
        <v>9.9537394099884777E-4</v>
      </c>
      <c r="G250">
        <f t="shared" si="33"/>
        <v>7.926946861303365E-4</v>
      </c>
      <c r="H250">
        <f t="shared" si="33"/>
        <v>8.5239323194738497E-5</v>
      </c>
      <c r="I250">
        <f t="shared" si="33"/>
        <v>-5.8337338462924196E-3</v>
      </c>
      <c r="J250">
        <f t="shared" si="33"/>
        <v>7.5411962237194425E-5</v>
      </c>
      <c r="K250">
        <f t="shared" si="33"/>
        <v>1.5302040662204286E-4</v>
      </c>
      <c r="L250">
        <f t="shared" si="33"/>
        <v>2.9023162285972675E-4</v>
      </c>
      <c r="M250">
        <f t="shared" si="33"/>
        <v>1.7512980893408657E-4</v>
      </c>
      <c r="N250">
        <f t="shared" si="33"/>
        <v>8.5785273331237955E-4</v>
      </c>
      <c r="O250">
        <f t="shared" si="33"/>
        <v>1.2987317441533343E-4</v>
      </c>
      <c r="P250">
        <f t="shared" si="33"/>
        <v>6.4841120493935183E-4</v>
      </c>
      <c r="Q250"/>
      <c r="R250"/>
      <c r="S250"/>
      <c r="T250"/>
      <c r="U250"/>
      <c r="V250"/>
      <c r="W250">
        <f t="shared" si="34"/>
        <v>6.1731975104358826E-5</v>
      </c>
      <c r="X250">
        <f t="shared" si="34"/>
        <v>2.182587122048386E-4</v>
      </c>
      <c r="Y250">
        <f t="shared" si="34"/>
        <v>7.8933856052357539E-5</v>
      </c>
      <c r="Z250">
        <f t="shared" si="34"/>
        <v>-1.9730838557558805E-5</v>
      </c>
      <c r="AA250">
        <f t="shared" si="34"/>
        <v>1.4444273278726451E-4</v>
      </c>
      <c r="AB250">
        <f t="shared" si="34"/>
        <v>-1.9736969813122238E-6</v>
      </c>
      <c r="AC250">
        <f t="shared" si="34"/>
        <v>2.1828872337287104E-5</v>
      </c>
      <c r="AD250">
        <f t="shared" si="34"/>
        <v>-1.0953696882092336E-5</v>
      </c>
      <c r="AE250">
        <f t="shared" si="34"/>
        <v>1.980951253575002E-5</v>
      </c>
      <c r="AF250">
        <f t="shared" si="34"/>
        <v>5.2395418628211124E-4</v>
      </c>
      <c r="AG250">
        <f t="shared" si="34"/>
        <v>-1.0459414069309259E-3</v>
      </c>
      <c r="AH250">
        <f t="shared" si="34"/>
        <v>5.155800597895653E-4</v>
      </c>
      <c r="AI250">
        <f t="shared" si="34"/>
        <v>1.3178934569224767E-3</v>
      </c>
      <c r="AJ250">
        <f t="shared" si="34"/>
        <v>2.1145734171315288E-3</v>
      </c>
      <c r="AK250">
        <f t="shared" si="34"/>
        <v>1.4198148663217836E-3</v>
      </c>
      <c r="AL250">
        <f t="shared" si="34"/>
        <v>5.3859602734387393E-4</v>
      </c>
      <c r="AM250">
        <f t="shared" si="34"/>
        <v>1.3319787307460283E-3</v>
      </c>
      <c r="AN250">
        <f t="shared" si="34"/>
        <v>6.4364703808384642E-4</v>
      </c>
      <c r="AO250">
        <f t="shared" si="34"/>
        <v>-1.3321556438579721E-5</v>
      </c>
      <c r="AP250">
        <f t="shared" si="34"/>
        <v>1.4748333861041324E-4</v>
      </c>
      <c r="AQ250">
        <f t="shared" si="34"/>
        <v>5.5983547003573632E-6</v>
      </c>
      <c r="AR250"/>
      <c r="AS250"/>
      <c r="AT250"/>
      <c r="AU250"/>
      <c r="AV250"/>
      <c r="AW250"/>
      <c r="AX250"/>
      <c r="AY250"/>
      <c r="AZ250"/>
      <c r="BA250"/>
      <c r="BB250"/>
      <c r="BC250" s="23"/>
      <c r="BD250"/>
      <c r="BE250"/>
    </row>
    <row r="251" spans="1:57" x14ac:dyDescent="0.3">
      <c r="A251">
        <v>1969</v>
      </c>
      <c r="B251">
        <f t="shared" si="33"/>
        <v>-1.0033874610298262E-3</v>
      </c>
      <c r="C251">
        <f t="shared" si="33"/>
        <v>4.3355131350801017E-3</v>
      </c>
      <c r="D251">
        <f t="shared" si="33"/>
        <v>3.0384777196719216E-5</v>
      </c>
      <c r="E251">
        <f t="shared" si="33"/>
        <v>7.5191283966149266E-4</v>
      </c>
      <c r="F251">
        <f t="shared" si="33"/>
        <v>7.0431115389272929E-4</v>
      </c>
      <c r="G251">
        <f t="shared" si="33"/>
        <v>7.5045928808838277E-4</v>
      </c>
      <c r="H251">
        <f t="shared" si="33"/>
        <v>1.1730224166568126E-4</v>
      </c>
      <c r="I251">
        <f t="shared" si="33"/>
        <v>-2.0103549591798517E-3</v>
      </c>
      <c r="J251">
        <f t="shared" si="33"/>
        <v>1.1380954172830155E-4</v>
      </c>
      <c r="K251">
        <f t="shared" si="33"/>
        <v>1.2023618656201946E-4</v>
      </c>
      <c r="L251">
        <f t="shared" si="33"/>
        <v>3.5420258245702637E-4</v>
      </c>
      <c r="M251">
        <f t="shared" si="33"/>
        <v>1.5743510257864126E-4</v>
      </c>
      <c r="N251">
        <f t="shared" si="33"/>
        <v>9.274115624252206E-4</v>
      </c>
      <c r="O251">
        <f t="shared" si="33"/>
        <v>7.7395881997223523E-4</v>
      </c>
      <c r="P251">
        <f t="shared" si="33"/>
        <v>8.8392539077844479E-4</v>
      </c>
      <c r="Q251"/>
      <c r="R251"/>
      <c r="S251"/>
      <c r="T251"/>
      <c r="U251"/>
      <c r="V251"/>
      <c r="W251">
        <f t="shared" si="34"/>
        <v>6.7248592506058787E-5</v>
      </c>
      <c r="X251">
        <f t="shared" si="34"/>
        <v>2.7509355964137281E-4</v>
      </c>
      <c r="Y251">
        <f t="shared" si="34"/>
        <v>8.9640720239886478E-5</v>
      </c>
      <c r="Z251">
        <f t="shared" si="34"/>
        <v>-4.2403248711592693E-6</v>
      </c>
      <c r="AA251">
        <f t="shared" si="34"/>
        <v>1.3996972446036449E-4</v>
      </c>
      <c r="AB251">
        <f t="shared" si="34"/>
        <v>1.1280951954878937E-5</v>
      </c>
      <c r="AC251">
        <f t="shared" si="34"/>
        <v>-2.7093264520980338E-5</v>
      </c>
      <c r="AD251">
        <f t="shared" si="34"/>
        <v>1.8854207187984779E-4</v>
      </c>
      <c r="AE251">
        <f t="shared" si="34"/>
        <v>-1.4566826885608717E-5</v>
      </c>
      <c r="AF251">
        <f t="shared" si="34"/>
        <v>4.6915348288482754E-4</v>
      </c>
      <c r="AG251">
        <f t="shared" si="34"/>
        <v>3.4600646385088639E-3</v>
      </c>
      <c r="AH251">
        <f t="shared" si="34"/>
        <v>4.856000434353342E-4</v>
      </c>
      <c r="AI251">
        <f t="shared" si="34"/>
        <v>1.1552090237513636E-3</v>
      </c>
      <c r="AJ251">
        <f t="shared" si="34"/>
        <v>1.8290521855758421E-3</v>
      </c>
      <c r="AK251">
        <f t="shared" si="34"/>
        <v>1.2426587753867231E-3</v>
      </c>
      <c r="AL251">
        <f t="shared" si="34"/>
        <v>7.2355541542586848E-4</v>
      </c>
      <c r="AM251">
        <f t="shared" si="34"/>
        <v>9.9470084792246428E-4</v>
      </c>
      <c r="AN251">
        <f t="shared" si="34"/>
        <v>7.5909909918730318E-4</v>
      </c>
      <c r="AO251">
        <f t="shared" si="34"/>
        <v>-1.2161903398764722E-5</v>
      </c>
      <c r="AP251">
        <f t="shared" si="34"/>
        <v>1.9084400592538813E-4</v>
      </c>
      <c r="AQ251">
        <f t="shared" si="34"/>
        <v>1.1714687417519481E-5</v>
      </c>
      <c r="AR251"/>
      <c r="AS251"/>
      <c r="AT251"/>
      <c r="AU251"/>
      <c r="AV251"/>
      <c r="AW251"/>
      <c r="AX251"/>
      <c r="AY251"/>
      <c r="AZ251"/>
      <c r="BA251"/>
      <c r="BB251"/>
      <c r="BC251" s="23"/>
      <c r="BD251"/>
      <c r="BE251"/>
    </row>
    <row r="252" spans="1:57" x14ac:dyDescent="0.3">
      <c r="A252">
        <v>1970</v>
      </c>
      <c r="B252">
        <f t="shared" si="33"/>
        <v>1.2925964851448905E-4</v>
      </c>
      <c r="C252">
        <f t="shared" si="33"/>
        <v>-7.0685043365818151E-3</v>
      </c>
      <c r="D252">
        <f t="shared" si="33"/>
        <v>2.1823986539939698E-4</v>
      </c>
      <c r="E252">
        <f t="shared" si="33"/>
        <v>1.0320385554065629E-3</v>
      </c>
      <c r="F252">
        <f t="shared" si="33"/>
        <v>2.0072723950729861E-3</v>
      </c>
      <c r="G252">
        <f t="shared" si="33"/>
        <v>1.0597775657275365E-3</v>
      </c>
      <c r="H252">
        <f t="shared" si="33"/>
        <v>3.5625632550826787E-5</v>
      </c>
      <c r="I252">
        <f t="shared" si="33"/>
        <v>-1.1946418387549793E-2</v>
      </c>
      <c r="J252">
        <f t="shared" si="33"/>
        <v>2.0484816870002297E-5</v>
      </c>
      <c r="K252">
        <f t="shared" si="33"/>
        <v>1.7012382642000139E-4</v>
      </c>
      <c r="L252">
        <f t="shared" si="33"/>
        <v>1.9586727067034414E-4</v>
      </c>
      <c r="M252">
        <f t="shared" si="33"/>
        <v>1.7415071820744954E-4</v>
      </c>
      <c r="N252">
        <f t="shared" si="33"/>
        <v>3.3629697815644997E-4</v>
      </c>
      <c r="O252">
        <f t="shared" si="33"/>
        <v>-2.0228581553915516E-4</v>
      </c>
      <c r="P252">
        <f t="shared" si="33"/>
        <v>1.9028901069365251E-4</v>
      </c>
      <c r="Q252"/>
      <c r="R252"/>
      <c r="S252"/>
      <c r="T252"/>
      <c r="U252"/>
      <c r="V252"/>
      <c r="W252">
        <f t="shared" si="34"/>
        <v>1.3292337862638989E-4</v>
      </c>
      <c r="X252">
        <f t="shared" si="34"/>
        <v>1.4785342015509372E-4</v>
      </c>
      <c r="Y252">
        <f t="shared" si="34"/>
        <v>1.3448256203865976E-4</v>
      </c>
      <c r="Z252">
        <f t="shared" si="34"/>
        <v>1.7728134009854171E-5</v>
      </c>
      <c r="AA252">
        <f t="shared" si="34"/>
        <v>2.6837047062049228E-5</v>
      </c>
      <c r="AB252">
        <f t="shared" si="34"/>
        <v>1.8700207547414951E-5</v>
      </c>
      <c r="AC252">
        <f t="shared" si="34"/>
        <v>2.3681368952258243E-5</v>
      </c>
      <c r="AD252">
        <f t="shared" si="34"/>
        <v>1.9055317392549433E-4</v>
      </c>
      <c r="AE252">
        <f t="shared" si="34"/>
        <v>3.269610379524896E-5</v>
      </c>
      <c r="AF252">
        <f t="shared" si="34"/>
        <v>6.4099426084558155E-4</v>
      </c>
      <c r="AG252">
        <f t="shared" si="34"/>
        <v>1.9017163460972595E-3</v>
      </c>
      <c r="AH252">
        <f t="shared" si="34"/>
        <v>6.4830850150349487E-4</v>
      </c>
      <c r="AI252">
        <f t="shared" si="34"/>
        <v>1.1286717994421823E-3</v>
      </c>
      <c r="AJ252">
        <f t="shared" si="34"/>
        <v>1.7149542346866363E-3</v>
      </c>
      <c r="AK252">
        <f t="shared" si="34"/>
        <v>1.1973497922883136E-3</v>
      </c>
      <c r="AL252">
        <f t="shared" si="34"/>
        <v>5.4825642502501822E-4</v>
      </c>
      <c r="AM252">
        <f t="shared" si="34"/>
        <v>7.76358946751782E-4</v>
      </c>
      <c r="AN252">
        <f t="shared" si="34"/>
        <v>5.7638505727023977E-4</v>
      </c>
      <c r="AO252">
        <f t="shared" si="34"/>
        <v>-8.9941186870099735E-6</v>
      </c>
      <c r="AP252">
        <f t="shared" si="34"/>
        <v>5.7965608771200013E-5</v>
      </c>
      <c r="AQ252">
        <f t="shared" si="34"/>
        <v>-1.1534300794436041E-6</v>
      </c>
      <c r="AR252"/>
      <c r="AS252"/>
      <c r="AT252"/>
      <c r="AU252"/>
      <c r="AV252"/>
      <c r="AW252"/>
      <c r="AX252"/>
      <c r="AY252"/>
      <c r="AZ252"/>
      <c r="BA252"/>
      <c r="BB252"/>
      <c r="BC252" s="23"/>
      <c r="BD252"/>
      <c r="BE252"/>
    </row>
    <row r="253" spans="1:57" x14ac:dyDescent="0.3">
      <c r="A253">
        <v>1971</v>
      </c>
      <c r="B253">
        <f t="shared" si="33"/>
        <v>4.5888966240797834E-5</v>
      </c>
      <c r="C253">
        <f t="shared" si="33"/>
        <v>-1.5084766874283058E-3</v>
      </c>
      <c r="D253">
        <f t="shared" si="33"/>
        <v>5.8163480787650628E-6</v>
      </c>
      <c r="E253">
        <f t="shared" si="33"/>
        <v>1.0007329651323497E-3</v>
      </c>
      <c r="F253">
        <f t="shared" si="33"/>
        <v>-1.6100845548424397E-3</v>
      </c>
      <c r="G253">
        <f t="shared" si="33"/>
        <v>9.1784744305502622E-4</v>
      </c>
      <c r="H253">
        <f t="shared" si="33"/>
        <v>-3.2284284155441803E-5</v>
      </c>
      <c r="I253">
        <f t="shared" si="33"/>
        <v>6.126917562948306E-3</v>
      </c>
      <c r="J253">
        <f t="shared" si="33"/>
        <v>-2.2941589246166366E-5</v>
      </c>
      <c r="K253">
        <f t="shared" si="33"/>
        <v>1.0888573100111864E-4</v>
      </c>
      <c r="L253">
        <f t="shared" si="33"/>
        <v>2.4308701114307145E-4</v>
      </c>
      <c r="M253">
        <f t="shared" si="33"/>
        <v>1.3028928474757346E-4</v>
      </c>
      <c r="N253">
        <f t="shared" si="33"/>
        <v>8.9018568732538383E-4</v>
      </c>
      <c r="O253">
        <f t="shared" si="33"/>
        <v>-5.8527032867806239E-5</v>
      </c>
      <c r="P253">
        <f t="shared" si="33"/>
        <v>6.2805230682371838E-4</v>
      </c>
      <c r="Q253"/>
      <c r="R253"/>
      <c r="S253"/>
      <c r="T253"/>
      <c r="U253"/>
      <c r="V253"/>
      <c r="W253">
        <f t="shared" si="34"/>
        <v>3.4741680374341527E-5</v>
      </c>
      <c r="X253">
        <f t="shared" si="34"/>
        <v>1.5360235729193505E-4</v>
      </c>
      <c r="Y253">
        <f t="shared" si="34"/>
        <v>4.7259463610343423E-5</v>
      </c>
      <c r="Z253">
        <f t="shared" si="34"/>
        <v>-2.4107725237286781E-5</v>
      </c>
      <c r="AA253">
        <f t="shared" si="34"/>
        <v>1.3084038650878463E-4</v>
      </c>
      <c r="AB253">
        <f t="shared" si="34"/>
        <v>-7.9581670785560065E-6</v>
      </c>
      <c r="AC253">
        <f t="shared" si="34"/>
        <v>-4.6483227865186022E-6</v>
      </c>
      <c r="AD253">
        <f t="shared" si="34"/>
        <v>-3.4578436711842693E-4</v>
      </c>
      <c r="AE253">
        <f t="shared" si="34"/>
        <v>-2.1935814418837541E-5</v>
      </c>
      <c r="AF253">
        <f t="shared" si="34"/>
        <v>6.3620347907306866E-4</v>
      </c>
      <c r="AG253">
        <f t="shared" si="34"/>
        <v>3.3708970855722805E-3</v>
      </c>
      <c r="AH253">
        <f t="shared" si="34"/>
        <v>6.5240758681076874E-4</v>
      </c>
      <c r="AI253">
        <f t="shared" si="34"/>
        <v>7.9843924930715594E-4</v>
      </c>
      <c r="AJ253">
        <f t="shared" si="34"/>
        <v>1.6301821845164813E-3</v>
      </c>
      <c r="AK253">
        <f t="shared" si="34"/>
        <v>8.9433222060949439E-4</v>
      </c>
      <c r="AL253">
        <f t="shared" si="34"/>
        <v>6.0195970617889965E-4</v>
      </c>
      <c r="AM253">
        <f t="shared" si="34"/>
        <v>1.0649098174890929E-3</v>
      </c>
      <c r="AN253">
        <f t="shared" si="34"/>
        <v>6.5798580208184499E-4</v>
      </c>
      <c r="AO253">
        <f t="shared" si="34"/>
        <v>-2.1406130458269043E-5</v>
      </c>
      <c r="AP253">
        <f t="shared" si="34"/>
        <v>1.3280141580486265E-4</v>
      </c>
      <c r="AQ253">
        <f t="shared" si="34"/>
        <v>-3.8339282398419943E-6</v>
      </c>
      <c r="AR253"/>
      <c r="AS253"/>
      <c r="AT253"/>
      <c r="AU253"/>
      <c r="AV253"/>
      <c r="AW253"/>
      <c r="AX253"/>
      <c r="AY253"/>
      <c r="AZ253"/>
      <c r="BA253"/>
      <c r="BB253"/>
      <c r="BC253" s="23"/>
      <c r="BD253"/>
      <c r="BE253"/>
    </row>
    <row r="254" spans="1:57" x14ac:dyDescent="0.3">
      <c r="A254">
        <v>1972</v>
      </c>
      <c r="B254">
        <f t="shared" si="33"/>
        <v>-6.4875401581990688E-5</v>
      </c>
      <c r="C254">
        <f t="shared" si="33"/>
        <v>2.8534691253805497E-3</v>
      </c>
      <c r="D254">
        <f t="shared" si="33"/>
        <v>2.5060877635349595E-5</v>
      </c>
      <c r="E254">
        <f t="shared" si="33"/>
        <v>8.2800749233760619E-4</v>
      </c>
      <c r="F254">
        <f t="shared" si="33"/>
        <v>-8.9960431890102996E-4</v>
      </c>
      <c r="G254">
        <f t="shared" si="33"/>
        <v>7.7227633725312421E-4</v>
      </c>
      <c r="H254">
        <f t="shared" si="33"/>
        <v>-2.3435469241131555E-5</v>
      </c>
      <c r="I254">
        <f t="shared" si="33"/>
        <v>-1.1269682174696351E-3</v>
      </c>
      <c r="J254">
        <f t="shared" si="33"/>
        <v>-2.5506184588353757E-5</v>
      </c>
      <c r="K254">
        <f t="shared" si="33"/>
        <v>1.5998372313761689E-4</v>
      </c>
      <c r="L254">
        <f t="shared" si="33"/>
        <v>2.2418167525895281E-4</v>
      </c>
      <c r="M254">
        <f t="shared" si="33"/>
        <v>1.7035302368633584E-4</v>
      </c>
      <c r="N254">
        <f t="shared" si="33"/>
        <v>1.2825935263672461E-3</v>
      </c>
      <c r="O254">
        <f t="shared" si="33"/>
        <v>2.1101275207004036E-4</v>
      </c>
      <c r="P254">
        <f t="shared" si="33"/>
        <v>9.7782052225391862E-4</v>
      </c>
      <c r="Q254"/>
      <c r="R254"/>
      <c r="S254"/>
      <c r="T254"/>
      <c r="U254"/>
      <c r="V254"/>
      <c r="W254">
        <f t="shared" si="34"/>
        <v>5.154103888559479E-5</v>
      </c>
      <c r="X254">
        <f t="shared" si="34"/>
        <v>6.4848690847324388E-5</v>
      </c>
      <c r="Y254">
        <f t="shared" si="34"/>
        <v>5.2957474564476727E-5</v>
      </c>
      <c r="Z254">
        <f t="shared" si="34"/>
        <v>-2.579420310980951E-6</v>
      </c>
      <c r="AA254">
        <f t="shared" si="34"/>
        <v>4.4916654506833688E-5</v>
      </c>
      <c r="AB254">
        <f t="shared" si="34"/>
        <v>2.5432578455967137E-6</v>
      </c>
      <c r="AC254">
        <f t="shared" si="34"/>
        <v>3.7416121163999891E-6</v>
      </c>
      <c r="AD254">
        <f t="shared" si="34"/>
        <v>-2.2700218678325406E-4</v>
      </c>
      <c r="AE254">
        <f t="shared" si="34"/>
        <v>-7.8764481189691988E-6</v>
      </c>
      <c r="AF254">
        <f t="shared" si="34"/>
        <v>3.8077602773566347E-4</v>
      </c>
      <c r="AG254">
        <f t="shared" si="34"/>
        <v>9.0098422109134084E-4</v>
      </c>
      <c r="AH254">
        <f t="shared" si="34"/>
        <v>3.8389037048303283E-4</v>
      </c>
      <c r="AI254">
        <f t="shared" si="34"/>
        <v>7.267012536314423E-4</v>
      </c>
      <c r="AJ254">
        <f t="shared" si="34"/>
        <v>1.0419050951473241E-3</v>
      </c>
      <c r="AK254">
        <f t="shared" si="34"/>
        <v>7.6127644616264033E-4</v>
      </c>
      <c r="AL254">
        <f t="shared" si="34"/>
        <v>5.0815124325591615E-4</v>
      </c>
      <c r="AM254">
        <f t="shared" si="34"/>
        <v>7.8732621237060014E-4</v>
      </c>
      <c r="AN254">
        <f t="shared" si="34"/>
        <v>5.3871105878265874E-4</v>
      </c>
      <c r="AO254">
        <f t="shared" si="34"/>
        <v>-1.4932364350770282E-5</v>
      </c>
      <c r="AP254">
        <f t="shared" si="34"/>
        <v>6.1304962032352524E-5</v>
      </c>
      <c r="AQ254">
        <f t="shared" si="34"/>
        <v>-5.8905889011242803E-6</v>
      </c>
      <c r="AR254"/>
      <c r="AS254"/>
      <c r="AT254"/>
      <c r="AU254"/>
      <c r="AV254"/>
      <c r="AW254"/>
      <c r="AX254"/>
      <c r="AY254"/>
      <c r="AZ254"/>
      <c r="BA254"/>
      <c r="BB254"/>
      <c r="BC254" s="23"/>
      <c r="BD254"/>
      <c r="BE254"/>
    </row>
    <row r="255" spans="1:57" x14ac:dyDescent="0.3">
      <c r="A255">
        <v>1973</v>
      </c>
      <c r="B255">
        <f t="shared" si="33"/>
        <v>5.4485459927676623E-4</v>
      </c>
      <c r="C255">
        <f t="shared" si="33"/>
        <v>-6.2696737800909978E-3</v>
      </c>
      <c r="D255">
        <f t="shared" si="33"/>
        <v>7.3210333996965183E-4</v>
      </c>
      <c r="E255">
        <f t="shared" si="33"/>
        <v>5.6326371074606025E-4</v>
      </c>
      <c r="F255">
        <f t="shared" si="33"/>
        <v>6.4341636505208945E-5</v>
      </c>
      <c r="G255">
        <f t="shared" si="33"/>
        <v>5.4896037510707022E-4</v>
      </c>
      <c r="H255">
        <f t="shared" si="33"/>
        <v>6.8364660070361174E-5</v>
      </c>
      <c r="I255">
        <f t="shared" si="33"/>
        <v>6.0266334242302403E-3</v>
      </c>
      <c r="J255">
        <f t="shared" si="33"/>
        <v>7.9577770977824226E-5</v>
      </c>
      <c r="K255">
        <f t="shared" si="33"/>
        <v>1.7696889063016481E-4</v>
      </c>
      <c r="L255">
        <f t="shared" si="33"/>
        <v>2.1509003744841782E-4</v>
      </c>
      <c r="M255">
        <f t="shared" si="33"/>
        <v>1.8295874696247562E-4</v>
      </c>
      <c r="N255">
        <f t="shared" si="33"/>
        <v>2.0171563257617817E-4</v>
      </c>
      <c r="O255">
        <f t="shared" si="33"/>
        <v>1.2184059686538267E-4</v>
      </c>
      <c r="P255">
        <f t="shared" si="33"/>
        <v>1.7826750160631399E-4</v>
      </c>
      <c r="Q255"/>
      <c r="R255"/>
      <c r="S255"/>
      <c r="T255"/>
      <c r="U255"/>
      <c r="V255"/>
      <c r="W255">
        <f t="shared" si="34"/>
        <v>6.7148694984488864E-5</v>
      </c>
      <c r="X255">
        <f t="shared" si="34"/>
        <v>2.4612887049346114E-4</v>
      </c>
      <c r="Y255">
        <f t="shared" si="34"/>
        <v>8.5610341432385066E-5</v>
      </c>
      <c r="Z255">
        <f t="shared" ref="Z255:AQ255" si="35">(Z197-Z129)/Z129</f>
        <v>-8.9851802352967643E-6</v>
      </c>
      <c r="AA255">
        <f t="shared" si="35"/>
        <v>1.4305919297826191E-4</v>
      </c>
      <c r="AB255">
        <f t="shared" si="35"/>
        <v>6.3948980529046529E-6</v>
      </c>
      <c r="AC255">
        <f t="shared" si="35"/>
        <v>8.9155009416404776E-6</v>
      </c>
      <c r="AD255">
        <f t="shared" si="35"/>
        <v>9.7415880613395858E-5</v>
      </c>
      <c r="AE255">
        <f t="shared" si="35"/>
        <v>1.309247803901095E-5</v>
      </c>
      <c r="AF255">
        <f t="shared" si="35"/>
        <v>3.3709640387586309E-4</v>
      </c>
      <c r="AG255">
        <f t="shared" si="35"/>
        <v>2.0482583892248037E-3</v>
      </c>
      <c r="AH255">
        <f t="shared" si="35"/>
        <v>3.4792225952189239E-4</v>
      </c>
      <c r="AI255">
        <f t="shared" si="35"/>
        <v>8.2227413875916519E-4</v>
      </c>
      <c r="AJ255">
        <f t="shared" si="35"/>
        <v>2.5373543612319345E-3</v>
      </c>
      <c r="AK255">
        <f t="shared" si="35"/>
        <v>9.8579074419446002E-4</v>
      </c>
      <c r="AL255">
        <f t="shared" si="35"/>
        <v>4.5589766493027645E-4</v>
      </c>
      <c r="AM255">
        <f t="shared" si="35"/>
        <v>5.3930077264223626E-4</v>
      </c>
      <c r="AN255">
        <f t="shared" si="35"/>
        <v>4.6370829791587802E-4</v>
      </c>
      <c r="AO255">
        <f t="shared" si="35"/>
        <v>-1.4762315557718106E-5</v>
      </c>
      <c r="AP255">
        <f t="shared" si="35"/>
        <v>1.3093690836712981E-4</v>
      </c>
      <c r="AQ255">
        <f t="shared" si="35"/>
        <v>1.4219330738955073E-6</v>
      </c>
      <c r="AR255"/>
      <c r="AS255"/>
      <c r="AT255"/>
      <c r="AU255"/>
      <c r="AV255"/>
      <c r="AW255"/>
      <c r="AX255"/>
      <c r="AY255"/>
      <c r="AZ255"/>
      <c r="BA255"/>
      <c r="BB255"/>
      <c r="BC255" s="23"/>
      <c r="BD255"/>
      <c r="BE255"/>
    </row>
    <row r="256" spans="1:57" x14ac:dyDescent="0.3">
      <c r="A256">
        <v>1974</v>
      </c>
      <c r="B256">
        <f t="shared" si="33"/>
        <v>4.0014470465005858E-4</v>
      </c>
      <c r="C256">
        <f t="shared" si="33"/>
        <v>-1.3451311552821364E-3</v>
      </c>
      <c r="D256">
        <f t="shared" si="33"/>
        <v>6.8987913663690626E-5</v>
      </c>
      <c r="E256">
        <f t="shared" si="33"/>
        <v>6.9314834582419045E-4</v>
      </c>
      <c r="F256">
        <f t="shared" si="33"/>
        <v>1.3069971244174113E-3</v>
      </c>
      <c r="G256">
        <f t="shared" si="33"/>
        <v>7.1247554306614594E-4</v>
      </c>
      <c r="H256">
        <f t="shared" si="33"/>
        <v>-1.0838722056326527E-5</v>
      </c>
      <c r="I256">
        <f t="shared" si="33"/>
        <v>-5.4189254368577358E-4</v>
      </c>
      <c r="J256">
        <f t="shared" si="33"/>
        <v>-1.2209894963589565E-5</v>
      </c>
      <c r="K256">
        <f t="shared" si="33"/>
        <v>1.6520995897437876E-4</v>
      </c>
      <c r="L256">
        <f t="shared" si="33"/>
        <v>1.5164401807782655E-4</v>
      </c>
      <c r="M256">
        <f t="shared" si="33"/>
        <v>1.6304581996453429E-4</v>
      </c>
      <c r="N256">
        <f t="shared" si="33"/>
        <v>1.2009547346502204E-3</v>
      </c>
      <c r="O256">
        <f t="shared" si="33"/>
        <v>2.5761377328819765E-4</v>
      </c>
      <c r="P256">
        <f t="shared" si="33"/>
        <v>9.1986568736991149E-4</v>
      </c>
      <c r="Q256"/>
      <c r="R256"/>
      <c r="S256"/>
      <c r="T256"/>
      <c r="U256"/>
      <c r="V256"/>
      <c r="W256">
        <f t="shared" ref="W256:AQ268" si="36">(W198-W130)/W130</f>
        <v>7.5458194508535914E-5</v>
      </c>
      <c r="X256">
        <f t="shared" si="36"/>
        <v>8.0015837298895933E-5</v>
      </c>
      <c r="Y256">
        <f t="shared" si="36"/>
        <v>7.5940258371737912E-5</v>
      </c>
      <c r="Z256">
        <f t="shared" si="36"/>
        <v>-7.9522919092451138E-6</v>
      </c>
      <c r="AA256">
        <f t="shared" si="36"/>
        <v>5.5170286564471976E-5</v>
      </c>
      <c r="AB256">
        <f t="shared" si="36"/>
        <v>-1.2345318973731159E-6</v>
      </c>
      <c r="AC256">
        <f t="shared" si="36"/>
        <v>1.4850443450389013E-5</v>
      </c>
      <c r="AD256">
        <f t="shared" si="36"/>
        <v>-2.2061791666583766E-4</v>
      </c>
      <c r="AE256">
        <f t="shared" si="36"/>
        <v>3.5519069654017448E-6</v>
      </c>
      <c r="AF256">
        <f t="shared" si="36"/>
        <v>4.3664332503219974E-4</v>
      </c>
      <c r="AG256">
        <f t="shared" si="36"/>
        <v>1.677007730434931E-3</v>
      </c>
      <c r="AH256">
        <f t="shared" si="36"/>
        <v>4.4457423467864863E-4</v>
      </c>
      <c r="AI256">
        <f t="shared" si="36"/>
        <v>8.9453210205436156E-4</v>
      </c>
      <c r="AJ256">
        <f t="shared" si="36"/>
        <v>1.4854448199301395E-3</v>
      </c>
      <c r="AK256">
        <f t="shared" si="36"/>
        <v>9.5172512777792968E-4</v>
      </c>
      <c r="AL256">
        <f t="shared" si="36"/>
        <v>4.4565708875207201E-4</v>
      </c>
      <c r="AM256">
        <f t="shared" si="36"/>
        <v>6.6867738355133317E-4</v>
      </c>
      <c r="AN256">
        <f t="shared" si="36"/>
        <v>4.6785632782626971E-4</v>
      </c>
      <c r="AO256">
        <f t="shared" si="36"/>
        <v>-1.8174663571690732E-5</v>
      </c>
      <c r="AP256">
        <f t="shared" si="36"/>
        <v>9.8968774677243678E-5</v>
      </c>
      <c r="AQ256">
        <f t="shared" si="36"/>
        <v>-4.4246230338748071E-6</v>
      </c>
      <c r="AR256"/>
      <c r="AS256"/>
      <c r="AT256"/>
      <c r="AU256"/>
      <c r="AV256"/>
      <c r="AW256"/>
      <c r="AX256"/>
      <c r="AY256"/>
      <c r="AZ256"/>
      <c r="BA256"/>
      <c r="BB256"/>
      <c r="BC256" s="23"/>
      <c r="BD256"/>
      <c r="BE256"/>
    </row>
    <row r="257" spans="1:57" x14ac:dyDescent="0.3">
      <c r="A257">
        <v>1975</v>
      </c>
      <c r="B257">
        <f t="shared" si="33"/>
        <v>1.7549133794527702E-4</v>
      </c>
      <c r="C257">
        <f t="shared" si="33"/>
        <v>-1.2148365580451122E-3</v>
      </c>
      <c r="D257">
        <f t="shared" si="33"/>
        <v>6.0380835628906621E-5</v>
      </c>
      <c r="E257">
        <f t="shared" si="33"/>
        <v>8.4109326934529618E-4</v>
      </c>
      <c r="F257">
        <f t="shared" si="33"/>
        <v>2.0693863542965217E-3</v>
      </c>
      <c r="G257">
        <f t="shared" si="33"/>
        <v>8.8004116964524579E-4</v>
      </c>
      <c r="H257">
        <f t="shared" si="33"/>
        <v>1.8538112718133368E-5</v>
      </c>
      <c r="I257">
        <f t="shared" si="33"/>
        <v>-1.719628892089124E-4</v>
      </c>
      <c r="J257">
        <f t="shared" si="33"/>
        <v>1.819711467000604E-5</v>
      </c>
      <c r="K257">
        <f t="shared" si="33"/>
        <v>1.2352644088780854E-4</v>
      </c>
      <c r="L257">
        <f t="shared" si="33"/>
        <v>-9.6679311288463736E-6</v>
      </c>
      <c r="M257">
        <f t="shared" si="33"/>
        <v>1.0246562932020069E-4</v>
      </c>
      <c r="N257">
        <f t="shared" si="33"/>
        <v>5.763403880430795E-4</v>
      </c>
      <c r="O257">
        <f t="shared" si="33"/>
        <v>-3.9033727654236342E-5</v>
      </c>
      <c r="P257">
        <f t="shared" si="33"/>
        <v>4.0303153013591844E-4</v>
      </c>
      <c r="Q257"/>
      <c r="R257"/>
      <c r="S257"/>
      <c r="T257"/>
      <c r="U257"/>
      <c r="V257"/>
      <c r="W257">
        <f t="shared" si="36"/>
        <v>4.1209124202013465E-5</v>
      </c>
      <c r="X257">
        <f t="shared" si="36"/>
        <v>2.7703023402969015E-5</v>
      </c>
      <c r="Y257">
        <f t="shared" si="36"/>
        <v>3.9790131152945014E-5</v>
      </c>
      <c r="Z257">
        <f t="shared" si="36"/>
        <v>-1.3367720264573688E-5</v>
      </c>
      <c r="AA257">
        <f t="shared" si="36"/>
        <v>8.7920190671329838E-5</v>
      </c>
      <c r="AB257">
        <f t="shared" si="36"/>
        <v>-2.7676514668206967E-6</v>
      </c>
      <c r="AC257">
        <f t="shared" si="36"/>
        <v>4.4024630327528517E-6</v>
      </c>
      <c r="AD257">
        <f t="shared" si="36"/>
        <v>6.4430804368629935E-5</v>
      </c>
      <c r="AE257">
        <f t="shared" si="36"/>
        <v>7.4057148918023342E-6</v>
      </c>
      <c r="AF257">
        <f t="shared" si="36"/>
        <v>2.6933078692873764E-4</v>
      </c>
      <c r="AG257">
        <f t="shared" si="36"/>
        <v>1.8995131834853324E-3</v>
      </c>
      <c r="AH257">
        <f t="shared" si="36"/>
        <v>2.7952446775627009E-4</v>
      </c>
      <c r="AI257">
        <f t="shared" si="36"/>
        <v>8.9652720097429042E-4</v>
      </c>
      <c r="AJ257">
        <f t="shared" si="36"/>
        <v>1.621539512502613E-3</v>
      </c>
      <c r="AK257">
        <f t="shared" si="36"/>
        <v>9.6527606316814491E-4</v>
      </c>
      <c r="AL257">
        <f t="shared" si="36"/>
        <v>3.7334888583534715E-4</v>
      </c>
      <c r="AM257">
        <f t="shared" si="36"/>
        <v>8.4183333305318882E-4</v>
      </c>
      <c r="AN257">
        <f t="shared" si="36"/>
        <v>4.1720535066669796E-4</v>
      </c>
      <c r="AO257">
        <f t="shared" si="36"/>
        <v>-1.0583771130752972E-5</v>
      </c>
      <c r="AP257">
        <f t="shared" si="36"/>
        <v>1.0285048795642941E-4</v>
      </c>
      <c r="AQ257">
        <f t="shared" si="36"/>
        <v>2.5173694382348421E-6</v>
      </c>
      <c r="AR257"/>
      <c r="AS257"/>
      <c r="AT257"/>
      <c r="AU257"/>
      <c r="AV257"/>
      <c r="AW257"/>
      <c r="AX257"/>
      <c r="AY257"/>
      <c r="AZ257"/>
      <c r="BA257"/>
      <c r="BB257"/>
      <c r="BC257" s="23"/>
      <c r="BD257"/>
      <c r="BE257"/>
    </row>
    <row r="258" spans="1:57" x14ac:dyDescent="0.3">
      <c r="A258">
        <v>1976</v>
      </c>
      <c r="B258">
        <f t="shared" si="33"/>
        <v>-3.1751453330606231E-4</v>
      </c>
      <c r="C258">
        <f t="shared" si="33"/>
        <v>4.4657319145744549E-3</v>
      </c>
      <c r="D258">
        <f t="shared" si="33"/>
        <v>-3.5482972795816421E-4</v>
      </c>
      <c r="E258">
        <f t="shared" si="33"/>
        <v>5.5030778467292949E-4</v>
      </c>
      <c r="F258">
        <f t="shared" si="33"/>
        <v>6.027386117849079E-4</v>
      </c>
      <c r="G258">
        <f t="shared" si="33"/>
        <v>5.5182937399529187E-4</v>
      </c>
      <c r="H258">
        <f t="shared" si="33"/>
        <v>3.8827745100785473E-5</v>
      </c>
      <c r="I258">
        <f t="shared" si="33"/>
        <v>2.9076312059293009E-3</v>
      </c>
      <c r="J258">
        <f t="shared" si="33"/>
        <v>4.3533022220869342E-5</v>
      </c>
      <c r="K258">
        <f t="shared" si="33"/>
        <v>2.0190318179936454E-4</v>
      </c>
      <c r="L258">
        <f t="shared" si="33"/>
        <v>2.5769016176310154E-4</v>
      </c>
      <c r="M258">
        <f t="shared" si="33"/>
        <v>2.108405522460162E-4</v>
      </c>
      <c r="N258">
        <f t="shared" si="33"/>
        <v>1.0888062815672217E-3</v>
      </c>
      <c r="O258">
        <f t="shared" si="33"/>
        <v>3.2184103436523636E-4</v>
      </c>
      <c r="P258">
        <f t="shared" si="33"/>
        <v>8.7822768313474591E-4</v>
      </c>
      <c r="Q258"/>
      <c r="R258"/>
      <c r="S258"/>
      <c r="T258"/>
      <c r="U258"/>
      <c r="V258"/>
      <c r="W258">
        <f t="shared" si="36"/>
        <v>1.041565027216057E-4</v>
      </c>
      <c r="X258">
        <f t="shared" si="36"/>
        <v>2.2548639776572932E-4</v>
      </c>
      <c r="Y258">
        <f t="shared" si="36"/>
        <v>1.1683514054858287E-4</v>
      </c>
      <c r="Z258">
        <f t="shared" si="36"/>
        <v>-1.7109506182802323E-5</v>
      </c>
      <c r="AA258">
        <f t="shared" si="36"/>
        <v>7.7266958213243955E-5</v>
      </c>
      <c r="AB258">
        <f t="shared" si="36"/>
        <v>-7.5427970828130561E-6</v>
      </c>
      <c r="AC258">
        <f t="shared" si="36"/>
        <v>4.7735847810949974E-6</v>
      </c>
      <c r="AD258">
        <f t="shared" si="36"/>
        <v>3.8530401770198603E-4</v>
      </c>
      <c r="AE258">
        <f t="shared" si="36"/>
        <v>2.3211647397101417E-5</v>
      </c>
      <c r="AF258">
        <f t="shared" si="36"/>
        <v>5.5238470491742429E-4</v>
      </c>
      <c r="AG258">
        <f t="shared" si="36"/>
        <v>-1.540250883194591E-3</v>
      </c>
      <c r="AH258">
        <f t="shared" si="36"/>
        <v>5.3848218181207501E-4</v>
      </c>
      <c r="AI258">
        <f t="shared" si="36"/>
        <v>8.8693818302978413E-4</v>
      </c>
      <c r="AJ258">
        <f t="shared" si="36"/>
        <v>1.4913296789928377E-3</v>
      </c>
      <c r="AK258">
        <f t="shared" si="36"/>
        <v>9.4328627653383131E-4</v>
      </c>
      <c r="AL258">
        <f t="shared" si="36"/>
        <v>3.741273524513701E-4</v>
      </c>
      <c r="AM258">
        <f t="shared" si="36"/>
        <v>9.1175283942682411E-4</v>
      </c>
      <c r="AN258">
        <f t="shared" si="36"/>
        <v>4.2491018791259106E-4</v>
      </c>
      <c r="AO258">
        <f t="shared" si="36"/>
        <v>-1.8325304156070716E-5</v>
      </c>
      <c r="AP258">
        <f t="shared" si="36"/>
        <v>7.9033696395691493E-5</v>
      </c>
      <c r="AQ258">
        <f t="shared" si="36"/>
        <v>-7.4240170095025698E-6</v>
      </c>
      <c r="AR258"/>
      <c r="AS258"/>
      <c r="AT258"/>
      <c r="AU258"/>
      <c r="AV258"/>
      <c r="AW258"/>
      <c r="AX258"/>
      <c r="AY258"/>
      <c r="AZ258"/>
      <c r="BA258"/>
      <c r="BB258"/>
      <c r="BC258" s="23"/>
      <c r="BD258"/>
      <c r="BE258"/>
    </row>
    <row r="259" spans="1:57" x14ac:dyDescent="0.3">
      <c r="A259">
        <v>1977</v>
      </c>
      <c r="B259">
        <f t="shared" ref="B259:P274" si="37">(B201-B133)/B133</f>
        <v>-8.8365586876326685E-4</v>
      </c>
      <c r="C259">
        <f t="shared" si="37"/>
        <v>1.8905314983628289E-3</v>
      </c>
      <c r="D259">
        <f t="shared" si="37"/>
        <v>-7.8017207086970896E-4</v>
      </c>
      <c r="E259">
        <f t="shared" si="37"/>
        <v>6.0116024870243018E-4</v>
      </c>
      <c r="F259">
        <f t="shared" si="37"/>
        <v>6.1890901355903655E-4</v>
      </c>
      <c r="G259">
        <f t="shared" si="37"/>
        <v>6.0170001996013808E-4</v>
      </c>
      <c r="H259">
        <f t="shared" si="37"/>
        <v>7.8130421697339875E-6</v>
      </c>
      <c r="I259">
        <f t="shared" si="37"/>
        <v>-6.6924160377913736E-4</v>
      </c>
      <c r="J259">
        <f t="shared" si="37"/>
        <v>6.8790750970025298E-6</v>
      </c>
      <c r="K259">
        <f t="shared" si="37"/>
        <v>1.1917823748068925E-4</v>
      </c>
      <c r="L259">
        <f t="shared" si="37"/>
        <v>6.4290533607530039E-5</v>
      </c>
      <c r="M259">
        <f t="shared" si="37"/>
        <v>1.1049708132122228E-4</v>
      </c>
      <c r="N259">
        <f t="shared" si="37"/>
        <v>1.1419599676832147E-3</v>
      </c>
      <c r="O259">
        <f t="shared" si="37"/>
        <v>4.4476382068250853E-4</v>
      </c>
      <c r="P259">
        <f t="shared" si="37"/>
        <v>9.5853813799566859E-4</v>
      </c>
      <c r="Q259"/>
      <c r="R259"/>
      <c r="S259"/>
      <c r="T259"/>
      <c r="U259"/>
      <c r="V259"/>
      <c r="W259">
        <f t="shared" si="36"/>
        <v>6.325773039459155E-5</v>
      </c>
      <c r="X259">
        <f t="shared" si="36"/>
        <v>1.474251992711947E-5</v>
      </c>
      <c r="Y259">
        <f t="shared" si="36"/>
        <v>5.8261201815935691E-5</v>
      </c>
      <c r="Z259">
        <f t="shared" si="36"/>
        <v>-1.4905236823811757E-6</v>
      </c>
      <c r="AA259">
        <f t="shared" si="36"/>
        <v>9.4363727084141298E-5</v>
      </c>
      <c r="AB259">
        <f t="shared" si="36"/>
        <v>8.3070270600601035E-6</v>
      </c>
      <c r="AC259">
        <f t="shared" si="36"/>
        <v>2.4370632327280203E-5</v>
      </c>
      <c r="AD259">
        <f t="shared" si="36"/>
        <v>2.1770474013016258E-4</v>
      </c>
      <c r="AE259">
        <f t="shared" si="36"/>
        <v>3.3682646266382688E-5</v>
      </c>
      <c r="AF259">
        <f t="shared" si="36"/>
        <v>5.2520282143729525E-4</v>
      </c>
      <c r="AG259">
        <f t="shared" si="36"/>
        <v>4.2324977465250995E-3</v>
      </c>
      <c r="AH259">
        <f t="shared" si="36"/>
        <v>5.5167952297602979E-4</v>
      </c>
      <c r="AI259">
        <f t="shared" si="36"/>
        <v>6.4948392749687885E-4</v>
      </c>
      <c r="AJ259">
        <f t="shared" si="36"/>
        <v>1.3222934070576012E-3</v>
      </c>
      <c r="AK259">
        <f t="shared" si="36"/>
        <v>7.1701570753489069E-4</v>
      </c>
      <c r="AL259">
        <f t="shared" si="36"/>
        <v>3.6842103599041368E-4</v>
      </c>
      <c r="AM259">
        <f t="shared" si="36"/>
        <v>5.0151443548779242E-4</v>
      </c>
      <c r="AN259">
        <f t="shared" si="36"/>
        <v>3.8173631204455939E-4</v>
      </c>
      <c r="AO259">
        <f t="shared" si="36"/>
        <v>-1.6982415329057978E-5</v>
      </c>
      <c r="AP259">
        <f t="shared" si="36"/>
        <v>1.0923576458513156E-4</v>
      </c>
      <c r="AQ259">
        <f t="shared" si="36"/>
        <v>-2.6653261049904881E-6</v>
      </c>
      <c r="AR259"/>
      <c r="AS259"/>
      <c r="AT259"/>
      <c r="AU259"/>
      <c r="AV259"/>
      <c r="AW259"/>
      <c r="AX259"/>
      <c r="AY259"/>
      <c r="AZ259"/>
      <c r="BA259"/>
      <c r="BB259"/>
      <c r="BC259" s="23"/>
      <c r="BD259"/>
      <c r="BE259"/>
    </row>
    <row r="260" spans="1:57" x14ac:dyDescent="0.3">
      <c r="A260">
        <v>1978</v>
      </c>
      <c r="B260">
        <f t="shared" si="37"/>
        <v>-1.538911044712519E-4</v>
      </c>
      <c r="C260">
        <f t="shared" si="37"/>
        <v>-1.1120464456781101E-2</v>
      </c>
      <c r="D260">
        <f t="shared" si="37"/>
        <v>-1.9813668868083517E-4</v>
      </c>
      <c r="E260">
        <f t="shared" si="37"/>
        <v>6.7282568928798048E-4</v>
      </c>
      <c r="F260">
        <f t="shared" si="37"/>
        <v>1.2348217005427068E-3</v>
      </c>
      <c r="G260">
        <f t="shared" si="37"/>
        <v>6.8922496417518771E-4</v>
      </c>
      <c r="H260">
        <f t="shared" si="37"/>
        <v>-3.1788440443131221E-5</v>
      </c>
      <c r="I260">
        <f t="shared" si="37"/>
        <v>7.3423189645892397E-3</v>
      </c>
      <c r="J260">
        <f t="shared" si="37"/>
        <v>-2.1626393623250923E-5</v>
      </c>
      <c r="K260">
        <f t="shared" si="37"/>
        <v>9.5814251098201748E-5</v>
      </c>
      <c r="L260">
        <f t="shared" si="37"/>
        <v>1.7219621750311378E-4</v>
      </c>
      <c r="M260">
        <f t="shared" si="37"/>
        <v>1.078122434088956E-4</v>
      </c>
      <c r="N260">
        <f t="shared" si="37"/>
        <v>8.1534767927687836E-4</v>
      </c>
      <c r="O260">
        <f t="shared" si="37"/>
        <v>4.5017997756609121E-4</v>
      </c>
      <c r="P260">
        <f t="shared" si="37"/>
        <v>7.2377317739825921E-4</v>
      </c>
      <c r="Q260"/>
      <c r="R260"/>
      <c r="S260"/>
      <c r="T260"/>
      <c r="U260"/>
      <c r="V260"/>
      <c r="W260">
        <f t="shared" si="36"/>
        <v>6.1957883956150278E-5</v>
      </c>
      <c r="X260">
        <f t="shared" si="36"/>
        <v>1.4194843941446586E-4</v>
      </c>
      <c r="Y260">
        <f t="shared" si="36"/>
        <v>7.0091775474778146E-5</v>
      </c>
      <c r="Z260">
        <f t="shared" si="36"/>
        <v>-1.6970706675670142E-5</v>
      </c>
      <c r="AA260">
        <f t="shared" si="36"/>
        <v>4.0926140679749026E-5</v>
      </c>
      <c r="AB260">
        <f t="shared" si="36"/>
        <v>-1.1250847942416012E-5</v>
      </c>
      <c r="AC260">
        <f t="shared" si="36"/>
        <v>4.5455256322622979E-6</v>
      </c>
      <c r="AD260">
        <f t="shared" si="36"/>
        <v>1.5879539494908669E-4</v>
      </c>
      <c r="AE260">
        <f t="shared" si="36"/>
        <v>1.172100030909329E-5</v>
      </c>
      <c r="AF260">
        <f t="shared" si="36"/>
        <v>4.4523628525968231E-4</v>
      </c>
      <c r="AG260">
        <f t="shared" si="36"/>
        <v>3.6748506750088217E-3</v>
      </c>
      <c r="AH260">
        <f t="shared" si="36"/>
        <v>4.6970865750959657E-4</v>
      </c>
      <c r="AI260">
        <f t="shared" si="36"/>
        <v>6.5513608325562132E-4</v>
      </c>
      <c r="AJ260">
        <f t="shared" si="36"/>
        <v>7.1924057527217528E-4</v>
      </c>
      <c r="AK260">
        <f t="shared" si="36"/>
        <v>6.6124234810371549E-4</v>
      </c>
      <c r="AL260">
        <f t="shared" si="36"/>
        <v>3.7298379482619864E-4</v>
      </c>
      <c r="AM260">
        <f t="shared" si="36"/>
        <v>8.5407483111079837E-4</v>
      </c>
      <c r="AN260">
        <f t="shared" si="36"/>
        <v>4.1868586657211986E-4</v>
      </c>
      <c r="AO260">
        <f t="shared" si="36"/>
        <v>-2.3064898589674683E-5</v>
      </c>
      <c r="AP260">
        <f t="shared" si="36"/>
        <v>5.4073451366393143E-5</v>
      </c>
      <c r="AQ260">
        <f t="shared" si="36"/>
        <v>-1.4627357043181415E-5</v>
      </c>
      <c r="AR260"/>
      <c r="AS260"/>
      <c r="AT260"/>
      <c r="AU260"/>
      <c r="AV260"/>
      <c r="AW260"/>
      <c r="AX260"/>
      <c r="AY260"/>
      <c r="AZ260"/>
      <c r="BA260"/>
      <c r="BB260"/>
      <c r="BC260" s="23"/>
      <c r="BD260"/>
      <c r="BE260"/>
    </row>
    <row r="261" spans="1:57" x14ac:dyDescent="0.3">
      <c r="A261">
        <v>1979</v>
      </c>
      <c r="B261">
        <f t="shared" si="37"/>
        <v>1.1905608375466391E-4</v>
      </c>
      <c r="C261">
        <f t="shared" si="37"/>
        <v>-1.6215248236472306E-3</v>
      </c>
      <c r="D261">
        <f t="shared" si="37"/>
        <v>1.9490945170281139E-4</v>
      </c>
      <c r="E261">
        <f t="shared" si="37"/>
        <v>5.6229054753685127E-4</v>
      </c>
      <c r="F261">
        <f t="shared" si="37"/>
        <v>1.3899374038887982E-3</v>
      </c>
      <c r="G261">
        <f t="shared" si="37"/>
        <v>5.8754946513852376E-4</v>
      </c>
      <c r="H261">
        <f t="shared" si="37"/>
        <v>2.5158684234064016E-5</v>
      </c>
      <c r="I261">
        <f t="shared" si="37"/>
        <v>1.239692940666959E-3</v>
      </c>
      <c r="J261">
        <f t="shared" si="37"/>
        <v>2.7106769194535453E-5</v>
      </c>
      <c r="K261">
        <f t="shared" si="37"/>
        <v>1.3578424613177714E-4</v>
      </c>
      <c r="L261">
        <f t="shared" si="37"/>
        <v>1.6022398731340451E-4</v>
      </c>
      <c r="M261">
        <f t="shared" si="37"/>
        <v>1.3969664667147274E-4</v>
      </c>
      <c r="N261">
        <f t="shared" si="37"/>
        <v>8.0527873228557439E-4</v>
      </c>
      <c r="O261">
        <f t="shared" si="37"/>
        <v>2.8506192087763188E-4</v>
      </c>
      <c r="P261">
        <f t="shared" si="37"/>
        <v>6.6900838423883044E-4</v>
      </c>
      <c r="Q261"/>
      <c r="R261"/>
      <c r="S261"/>
      <c r="T261"/>
      <c r="U261"/>
      <c r="V261"/>
      <c r="W261">
        <f t="shared" si="36"/>
        <v>5.2498141678865008E-5</v>
      </c>
      <c r="X261">
        <f t="shared" si="36"/>
        <v>1.0584956899757126E-4</v>
      </c>
      <c r="Y261">
        <f t="shared" si="36"/>
        <v>5.8001371196665123E-5</v>
      </c>
      <c r="Z261">
        <f t="shared" si="36"/>
        <v>1.2173090274273434E-6</v>
      </c>
      <c r="AA261">
        <f t="shared" si="36"/>
        <v>1.0051330729163859E-4</v>
      </c>
      <c r="AB261">
        <f t="shared" si="36"/>
        <v>1.1387186754172546E-5</v>
      </c>
      <c r="AC261">
        <f t="shared" si="36"/>
        <v>1.9819753571198265E-5</v>
      </c>
      <c r="AD261">
        <f t="shared" si="36"/>
        <v>1.0507479139718616E-4</v>
      </c>
      <c r="AE261">
        <f t="shared" si="36"/>
        <v>2.370990454189096E-5</v>
      </c>
      <c r="AF261">
        <f t="shared" si="36"/>
        <v>4.1410776878015833E-4</v>
      </c>
      <c r="AG261">
        <f t="shared" si="36"/>
        <v>1.875233328631581E-3</v>
      </c>
      <c r="AH261">
        <f t="shared" si="36"/>
        <v>4.2588916042436811E-4</v>
      </c>
      <c r="AI261">
        <f t="shared" si="36"/>
        <v>6.5607421217755621E-4</v>
      </c>
      <c r="AJ261">
        <f t="shared" si="36"/>
        <v>4.5446030433016947E-4</v>
      </c>
      <c r="AK261">
        <f t="shared" si="36"/>
        <v>6.3698641072858664E-4</v>
      </c>
      <c r="AL261">
        <f t="shared" si="36"/>
        <v>4.5948458031510149E-4</v>
      </c>
      <c r="AM261">
        <f t="shared" si="36"/>
        <v>7.193431564381734E-4</v>
      </c>
      <c r="AN261">
        <f t="shared" si="36"/>
        <v>4.8488641656707821E-4</v>
      </c>
      <c r="AO261">
        <f t="shared" si="36"/>
        <v>-3.6221862042611366E-6</v>
      </c>
      <c r="AP261">
        <f t="shared" si="36"/>
        <v>1.282353720560959E-4</v>
      </c>
      <c r="AQ261">
        <f t="shared" si="36"/>
        <v>1.1325197340789989E-5</v>
      </c>
      <c r="AR261"/>
      <c r="AS261"/>
      <c r="AT261"/>
      <c r="AU261"/>
      <c r="AV261"/>
      <c r="AW261"/>
      <c r="AX261"/>
      <c r="AY261"/>
      <c r="AZ261"/>
      <c r="BA261"/>
      <c r="BB261"/>
      <c r="BC261" s="23"/>
      <c r="BD261"/>
      <c r="BE261"/>
    </row>
    <row r="262" spans="1:57" x14ac:dyDescent="0.3">
      <c r="A262">
        <v>1980</v>
      </c>
      <c r="B262">
        <f t="shared" si="37"/>
        <v>-7.1430722531127104E-5</v>
      </c>
      <c r="C262">
        <f t="shared" si="37"/>
        <v>7.1606443981096057E-2</v>
      </c>
      <c r="D262">
        <f t="shared" si="37"/>
        <v>-2.0079243509649576E-4</v>
      </c>
      <c r="E262">
        <f t="shared" si="37"/>
        <v>5.3847666110549768E-4</v>
      </c>
      <c r="F262">
        <f t="shared" si="37"/>
        <v>-3.7818127420067253E-4</v>
      </c>
      <c r="G262">
        <f t="shared" si="37"/>
        <v>5.1099732393840335E-4</v>
      </c>
      <c r="H262">
        <f t="shared" si="37"/>
        <v>9.0716689411580646E-6</v>
      </c>
      <c r="I262">
        <f t="shared" si="37"/>
        <v>-6.1985569336281965E-3</v>
      </c>
      <c r="J262">
        <f t="shared" si="37"/>
        <v>9.9610616892956849E-7</v>
      </c>
      <c r="K262">
        <f t="shared" si="37"/>
        <v>1.503218800975769E-4</v>
      </c>
      <c r="L262">
        <f t="shared" si="37"/>
        <v>1.7923408851503895E-4</v>
      </c>
      <c r="M262">
        <f t="shared" si="37"/>
        <v>1.549644533501418E-4</v>
      </c>
      <c r="N262">
        <f t="shared" si="37"/>
        <v>7.0778530771975555E-4</v>
      </c>
      <c r="O262">
        <f t="shared" si="37"/>
        <v>-7.1993630602108143E-4</v>
      </c>
      <c r="P262">
        <f t="shared" si="37"/>
        <v>3.7181999758957265E-4</v>
      </c>
      <c r="Q262"/>
      <c r="R262"/>
      <c r="S262"/>
      <c r="T262"/>
      <c r="U262"/>
      <c r="V262"/>
      <c r="W262">
        <f t="shared" si="36"/>
        <v>8.3013469841531837E-5</v>
      </c>
      <c r="X262">
        <f t="shared" si="36"/>
        <v>1.9376345429378356E-4</v>
      </c>
      <c r="Y262">
        <f t="shared" si="36"/>
        <v>9.4448087124340512E-5</v>
      </c>
      <c r="Z262">
        <f t="shared" si="36"/>
        <v>-1.5561436549841955E-6</v>
      </c>
      <c r="AA262">
        <f t="shared" si="36"/>
        <v>4.5658365558810899E-5</v>
      </c>
      <c r="AB262">
        <f t="shared" si="36"/>
        <v>3.377906221650021E-6</v>
      </c>
      <c r="AC262">
        <f t="shared" si="36"/>
        <v>8.816393449151382E-6</v>
      </c>
      <c r="AD262">
        <f t="shared" si="36"/>
        <v>4.3420755315313537E-4</v>
      </c>
      <c r="AE262">
        <f t="shared" si="36"/>
        <v>2.8053327591055903E-5</v>
      </c>
      <c r="AF262">
        <f t="shared" si="36"/>
        <v>2.6140155765358414E-4</v>
      </c>
      <c r="AG262">
        <f t="shared" si="36"/>
        <v>3.9483262844297829E-3</v>
      </c>
      <c r="AH262">
        <f t="shared" si="36"/>
        <v>2.9424597051596647E-4</v>
      </c>
      <c r="AI262">
        <f t="shared" si="36"/>
        <v>6.2152487663798446E-4</v>
      </c>
      <c r="AJ262">
        <f t="shared" si="36"/>
        <v>1.6910526599508901E-3</v>
      </c>
      <c r="AK262">
        <f t="shared" si="36"/>
        <v>7.1947290396117661E-4</v>
      </c>
      <c r="AL262">
        <f t="shared" si="36"/>
        <v>2.2360807928664125E-4</v>
      </c>
      <c r="AM262">
        <f t="shared" si="36"/>
        <v>9.0876229926003626E-4</v>
      </c>
      <c r="AN262">
        <f t="shared" si="36"/>
        <v>2.8664338494163022E-4</v>
      </c>
      <c r="AO262">
        <f t="shared" si="36"/>
        <v>-7.3312313346923255E-6</v>
      </c>
      <c r="AP262">
        <f t="shared" si="36"/>
        <v>4.7539402602483015E-5</v>
      </c>
      <c r="AQ262">
        <f t="shared" si="36"/>
        <v>-9.3892931030043384E-7</v>
      </c>
      <c r="AR262"/>
      <c r="AS262"/>
      <c r="AT262"/>
      <c r="AU262"/>
      <c r="AV262"/>
      <c r="AW262"/>
      <c r="AX262"/>
      <c r="AY262"/>
      <c r="AZ262"/>
      <c r="BA262"/>
      <c r="BB262"/>
      <c r="BC262" s="23"/>
      <c r="BD262"/>
      <c r="BE262"/>
    </row>
    <row r="263" spans="1:57" x14ac:dyDescent="0.3">
      <c r="A263">
        <v>1981</v>
      </c>
      <c r="B263">
        <f t="shared" si="37"/>
        <v>1.5129259864610157E-5</v>
      </c>
      <c r="C263">
        <f t="shared" si="37"/>
        <v>1.781878320400911E-4</v>
      </c>
      <c r="D263">
        <f t="shared" si="37"/>
        <v>2.0825844805495427E-5</v>
      </c>
      <c r="E263">
        <f t="shared" si="37"/>
        <v>7.6369127136840381E-4</v>
      </c>
      <c r="F263">
        <f t="shared" si="37"/>
        <v>1.7444396802812939E-3</v>
      </c>
      <c r="G263">
        <f t="shared" si="37"/>
        <v>7.9609806875273242E-4</v>
      </c>
      <c r="H263">
        <f t="shared" si="37"/>
        <v>-1.9710172322118563E-5</v>
      </c>
      <c r="I263">
        <f t="shared" si="37"/>
        <v>3.945153915079888E-4</v>
      </c>
      <c r="J263">
        <f t="shared" si="37"/>
        <v>-1.9272486675590616E-5</v>
      </c>
      <c r="K263">
        <f t="shared" si="37"/>
        <v>1.2542864191441888E-4</v>
      </c>
      <c r="L263">
        <f t="shared" si="37"/>
        <v>4.9978274525643308E-5</v>
      </c>
      <c r="M263">
        <f t="shared" si="37"/>
        <v>1.1342434727317246E-4</v>
      </c>
      <c r="N263">
        <f t="shared" si="37"/>
        <v>7.1297173955986166E-4</v>
      </c>
      <c r="O263">
        <f t="shared" si="37"/>
        <v>2.4307008758632913E-4</v>
      </c>
      <c r="P263">
        <f t="shared" si="37"/>
        <v>6.1152689557442629E-4</v>
      </c>
      <c r="Q263"/>
      <c r="R263"/>
      <c r="S263"/>
      <c r="T263"/>
      <c r="U263"/>
      <c r="V263"/>
      <c r="W263">
        <f t="shared" si="36"/>
        <v>3.8647634424198469E-5</v>
      </c>
      <c r="X263">
        <f t="shared" si="36"/>
        <v>6.1932086382993236E-5</v>
      </c>
      <c r="Y263">
        <f t="shared" si="36"/>
        <v>4.1018133128316435E-5</v>
      </c>
      <c r="Z263">
        <f t="shared" si="36"/>
        <v>-1.7057053731784216E-5</v>
      </c>
      <c r="AA263">
        <f t="shared" si="36"/>
        <v>5.5996396716348551E-5</v>
      </c>
      <c r="AB263">
        <f t="shared" si="36"/>
        <v>-9.7187160113002219E-6</v>
      </c>
      <c r="AC263">
        <f t="shared" si="36"/>
        <v>-3.4537957992995367E-6</v>
      </c>
      <c r="AD263">
        <f t="shared" si="36"/>
        <v>1.7065099495508731E-4</v>
      </c>
      <c r="AE263">
        <f t="shared" si="36"/>
        <v>4.2084400269186669E-6</v>
      </c>
      <c r="AF263">
        <f t="shared" si="36"/>
        <v>4.866209373770654E-4</v>
      </c>
      <c r="AG263">
        <f t="shared" si="36"/>
        <v>6.2099472931315932E-3</v>
      </c>
      <c r="AH263">
        <f t="shared" si="36"/>
        <v>5.3500322654136991E-4</v>
      </c>
      <c r="AI263">
        <f t="shared" si="36"/>
        <v>5.3396675681171993E-4</v>
      </c>
      <c r="AJ263">
        <f t="shared" si="36"/>
        <v>8.6276314882375161E-4</v>
      </c>
      <c r="AK263">
        <f t="shared" si="36"/>
        <v>5.6324729908527977E-4</v>
      </c>
      <c r="AL263">
        <f t="shared" si="36"/>
        <v>2.4660676869708072E-4</v>
      </c>
      <c r="AM263">
        <f t="shared" si="36"/>
        <v>5.3949252800018733E-4</v>
      </c>
      <c r="AN263">
        <f t="shared" si="36"/>
        <v>2.7256753358652667E-4</v>
      </c>
      <c r="AO263">
        <f t="shared" si="36"/>
        <v>-6.5918252409144799E-6</v>
      </c>
      <c r="AP263">
        <f t="shared" si="36"/>
        <v>4.5018756257887248E-5</v>
      </c>
      <c r="AQ263">
        <f t="shared" si="36"/>
        <v>-8.091286522366848E-7</v>
      </c>
      <c r="AR263"/>
      <c r="AS263"/>
      <c r="AT263"/>
      <c r="AU263"/>
      <c r="AV263"/>
      <c r="AW263"/>
      <c r="AX263"/>
      <c r="AY263"/>
      <c r="AZ263"/>
      <c r="BA263"/>
      <c r="BB263"/>
      <c r="BC263" s="23"/>
      <c r="BD263"/>
      <c r="BE263"/>
    </row>
    <row r="264" spans="1:57" x14ac:dyDescent="0.3">
      <c r="A264">
        <v>1982</v>
      </c>
      <c r="B264">
        <f t="shared" si="37"/>
        <v>-4.4435231207187561E-5</v>
      </c>
      <c r="C264">
        <f t="shared" si="37"/>
        <v>7.6938715858232256E-3</v>
      </c>
      <c r="D264">
        <f t="shared" si="37"/>
        <v>1.2911787300576611E-4</v>
      </c>
      <c r="E264">
        <f t="shared" si="37"/>
        <v>4.9152059904532589E-4</v>
      </c>
      <c r="F264">
        <f t="shared" si="37"/>
        <v>7.0288403553988774E-4</v>
      </c>
      <c r="G264">
        <f t="shared" si="37"/>
        <v>4.9879111271886815E-4</v>
      </c>
      <c r="H264">
        <f t="shared" si="37"/>
        <v>2.4029808464509643E-5</v>
      </c>
      <c r="I264">
        <f t="shared" si="37"/>
        <v>1.9745393462778636E-3</v>
      </c>
      <c r="J264">
        <f t="shared" si="37"/>
        <v>2.6519329644820804E-5</v>
      </c>
      <c r="K264">
        <f t="shared" si="37"/>
        <v>1.2693417543061593E-4</v>
      </c>
      <c r="L264">
        <f t="shared" si="37"/>
        <v>1.6505725942679404E-4</v>
      </c>
      <c r="M264">
        <f t="shared" si="37"/>
        <v>1.3289018301346358E-4</v>
      </c>
      <c r="N264">
        <f t="shared" si="37"/>
        <v>4.7792411129731426E-4</v>
      </c>
      <c r="O264">
        <f t="shared" si="37"/>
        <v>1.1922933283138543E-3</v>
      </c>
      <c r="P264">
        <f t="shared" si="37"/>
        <v>6.1808535588584422E-4</v>
      </c>
      <c r="Q264"/>
      <c r="R264"/>
      <c r="S264"/>
      <c r="T264"/>
      <c r="U264"/>
      <c r="V264"/>
      <c r="W264">
        <f t="shared" si="36"/>
        <v>4.8506126308970728E-5</v>
      </c>
      <c r="X264">
        <f t="shared" si="36"/>
        <v>1.8809401263649036E-4</v>
      </c>
      <c r="Y264">
        <f t="shared" si="36"/>
        <v>6.2454808335701701E-5</v>
      </c>
      <c r="Z264">
        <f t="shared" si="36"/>
        <v>-1.2590694940314034E-5</v>
      </c>
      <c r="AA264">
        <f t="shared" si="36"/>
        <v>-1.7986890486611553E-5</v>
      </c>
      <c r="AB264">
        <f t="shared" si="36"/>
        <v>-1.3119649851735628E-5</v>
      </c>
      <c r="AC264">
        <f t="shared" si="36"/>
        <v>4.3094432377941624E-7</v>
      </c>
      <c r="AD264">
        <f t="shared" si="36"/>
        <v>4.0160028505899182E-4</v>
      </c>
      <c r="AE264">
        <f t="shared" si="36"/>
        <v>1.8482477059624057E-5</v>
      </c>
      <c r="AF264">
        <f t="shared" si="36"/>
        <v>5.3316579239470318E-4</v>
      </c>
      <c r="AG264">
        <f t="shared" si="36"/>
        <v>-5.7341874308221481E-4</v>
      </c>
      <c r="AH264">
        <f t="shared" si="36"/>
        <v>5.2342659062508184E-4</v>
      </c>
      <c r="AI264">
        <f t="shared" si="36"/>
        <v>4.7703879316829628E-4</v>
      </c>
      <c r="AJ264">
        <f t="shared" si="36"/>
        <v>1.2626955766803639E-3</v>
      </c>
      <c r="AK264">
        <f t="shared" si="36"/>
        <v>5.4802726106530422E-4</v>
      </c>
      <c r="AL264">
        <f t="shared" si="36"/>
        <v>3.700689248040732E-4</v>
      </c>
      <c r="AM264">
        <f t="shared" si="36"/>
        <v>8.6805726241597251E-4</v>
      </c>
      <c r="AN264">
        <f t="shared" si="36"/>
        <v>4.1527433672128229E-4</v>
      </c>
      <c r="AO264">
        <f t="shared" si="36"/>
        <v>-4.2317386965655972E-6</v>
      </c>
      <c r="AP264">
        <f t="shared" si="36"/>
        <v>-5.5014494533926194E-6</v>
      </c>
      <c r="AQ264">
        <f t="shared" si="36"/>
        <v>-4.3709239270681514E-6</v>
      </c>
      <c r="AR264"/>
      <c r="AS264"/>
      <c r="AT264"/>
      <c r="AU264"/>
      <c r="AV264"/>
      <c r="AW264"/>
      <c r="AX264"/>
      <c r="AY264"/>
      <c r="AZ264"/>
      <c r="BA264"/>
      <c r="BB264"/>
      <c r="BC264" s="23"/>
      <c r="BD264"/>
      <c r="BE264"/>
    </row>
    <row r="265" spans="1:57" x14ac:dyDescent="0.3">
      <c r="A265">
        <v>1983</v>
      </c>
      <c r="B265">
        <f t="shared" si="37"/>
        <v>8.4893150528728373E-5</v>
      </c>
      <c r="C265">
        <f t="shared" si="37"/>
        <v>-1.5364037978774039E-3</v>
      </c>
      <c r="D265">
        <f t="shared" si="37"/>
        <v>1.2448989639747161E-4</v>
      </c>
      <c r="E265">
        <f t="shared" si="37"/>
        <v>6.3784521318769954E-4</v>
      </c>
      <c r="F265">
        <f t="shared" si="37"/>
        <v>2.0412577986268893E-3</v>
      </c>
      <c r="G265">
        <f t="shared" si="37"/>
        <v>6.8366305007988473E-4</v>
      </c>
      <c r="H265">
        <f t="shared" si="37"/>
        <v>-3.0855647962572244E-5</v>
      </c>
      <c r="I265">
        <f t="shared" si="37"/>
        <v>9.8421263368395993E-3</v>
      </c>
      <c r="J265">
        <f t="shared" si="37"/>
        <v>-1.8749064785926433E-5</v>
      </c>
      <c r="K265">
        <f t="shared" si="37"/>
        <v>9.4747717595038451E-5</v>
      </c>
      <c r="L265">
        <f t="shared" si="37"/>
        <v>1.4917765839170098E-4</v>
      </c>
      <c r="M265">
        <f t="shared" si="37"/>
        <v>1.0322713090044548E-4</v>
      </c>
      <c r="N265">
        <f t="shared" si="37"/>
        <v>6.5785503451124027E-4</v>
      </c>
      <c r="O265">
        <f t="shared" si="37"/>
        <v>4.3913039285970151E-4</v>
      </c>
      <c r="P265">
        <f t="shared" si="37"/>
        <v>6.1647778183358023E-4</v>
      </c>
      <c r="Q265"/>
      <c r="R265"/>
      <c r="S265"/>
      <c r="T265"/>
      <c r="U265"/>
      <c r="V265"/>
      <c r="W265">
        <f t="shared" si="36"/>
        <v>4.1199734371638231E-5</v>
      </c>
      <c r="X265">
        <f t="shared" si="36"/>
        <v>1.0882363323173767E-4</v>
      </c>
      <c r="Y265">
        <f t="shared" si="36"/>
        <v>4.8045224990507655E-5</v>
      </c>
      <c r="Z265">
        <f t="shared" si="36"/>
        <v>-2.3446974347176857E-5</v>
      </c>
      <c r="AA265">
        <f t="shared" si="36"/>
        <v>1.4753460866601266E-5</v>
      </c>
      <c r="AB265">
        <f t="shared" si="36"/>
        <v>-1.9470515720814376E-5</v>
      </c>
      <c r="AC265">
        <f t="shared" si="36"/>
        <v>1.1102447529602418E-5</v>
      </c>
      <c r="AD265">
        <f t="shared" si="36"/>
        <v>2.7418309164860797E-5</v>
      </c>
      <c r="AE265">
        <f t="shared" si="36"/>
        <v>1.1880549937560903E-5</v>
      </c>
      <c r="AF265">
        <f t="shared" si="36"/>
        <v>5.8466732419308544E-4</v>
      </c>
      <c r="AG265">
        <f t="shared" si="36"/>
        <v>0</v>
      </c>
      <c r="AH265">
        <f t="shared" si="36"/>
        <v>5.796383579565915E-4</v>
      </c>
      <c r="AI265">
        <f t="shared" si="36"/>
        <v>4.7968900385100062E-4</v>
      </c>
      <c r="AJ265">
        <f t="shared" si="36"/>
        <v>1.3288978891616663E-3</v>
      </c>
      <c r="AK265">
        <f t="shared" si="36"/>
        <v>5.5861791035621876E-4</v>
      </c>
      <c r="AL265">
        <f t="shared" si="36"/>
        <v>2.093094151683381E-4</v>
      </c>
      <c r="AM265">
        <f t="shared" si="36"/>
        <v>3.7936313995224323E-4</v>
      </c>
      <c r="AN265">
        <f t="shared" si="36"/>
        <v>2.2481121660120331E-4</v>
      </c>
      <c r="AO265">
        <f t="shared" si="36"/>
        <v>-2.8377927360433948E-5</v>
      </c>
      <c r="AP265">
        <f t="shared" si="36"/>
        <v>-8.0449776858183985E-6</v>
      </c>
      <c r="AQ265">
        <f t="shared" si="36"/>
        <v>-2.5994199505069758E-5</v>
      </c>
      <c r="AR265"/>
      <c r="AS265"/>
      <c r="AT265"/>
      <c r="AU265"/>
      <c r="AV265"/>
      <c r="AW265"/>
      <c r="AX265"/>
      <c r="AY265"/>
      <c r="AZ265"/>
      <c r="BA265"/>
      <c r="BB265"/>
      <c r="BC265" s="23"/>
      <c r="BD265"/>
      <c r="BE265"/>
    </row>
    <row r="266" spans="1:57" x14ac:dyDescent="0.3">
      <c r="A266">
        <v>1984</v>
      </c>
      <c r="B266">
        <f t="shared" si="37"/>
        <v>1.9463820032660986E-4</v>
      </c>
      <c r="C266">
        <f t="shared" si="37"/>
        <v>1.2397044182917408E-2</v>
      </c>
      <c r="D266">
        <f t="shared" si="37"/>
        <v>4.1753960914961111E-5</v>
      </c>
      <c r="E266">
        <f t="shared" si="37"/>
        <v>5.227583497427801E-4</v>
      </c>
      <c r="F266">
        <f t="shared" si="37"/>
        <v>-3.7469076152912132E-5</v>
      </c>
      <c r="G266">
        <f t="shared" si="37"/>
        <v>5.0492977549184326E-4</v>
      </c>
      <c r="H266">
        <f t="shared" si="37"/>
        <v>-8.0955010207366422E-6</v>
      </c>
      <c r="I266">
        <f t="shared" si="37"/>
        <v>5.2198314202178088E-3</v>
      </c>
      <c r="J266">
        <f t="shared" si="37"/>
        <v>6.5623331441384187E-7</v>
      </c>
      <c r="K266">
        <f t="shared" si="37"/>
        <v>1.0050846280941644E-4</v>
      </c>
      <c r="L266">
        <f t="shared" si="37"/>
        <v>1.8118634773180758E-4</v>
      </c>
      <c r="M266">
        <f t="shared" si="37"/>
        <v>1.1316276669912269E-4</v>
      </c>
      <c r="N266">
        <f t="shared" si="37"/>
        <v>5.2678946672832716E-4</v>
      </c>
      <c r="O266">
        <f t="shared" si="37"/>
        <v>8.4593056215761001E-4</v>
      </c>
      <c r="P266">
        <f t="shared" si="37"/>
        <v>5.8930716816352831E-4</v>
      </c>
      <c r="Q266"/>
      <c r="R266"/>
      <c r="S266"/>
      <c r="T266"/>
      <c r="U266"/>
      <c r="V266"/>
      <c r="W266">
        <f t="shared" si="36"/>
        <v>4.5772378811794204E-5</v>
      </c>
      <c r="X266">
        <f t="shared" si="36"/>
        <v>1.4923277166682569E-4</v>
      </c>
      <c r="Y266">
        <f t="shared" si="36"/>
        <v>5.6305593824797715E-5</v>
      </c>
      <c r="Z266">
        <f t="shared" si="36"/>
        <v>-2.0685579362034844E-5</v>
      </c>
      <c r="AA266">
        <f t="shared" si="36"/>
        <v>8.6370925096830413E-5</v>
      </c>
      <c r="AB266">
        <f t="shared" si="36"/>
        <v>-1.0054563617099693E-5</v>
      </c>
      <c r="AC266">
        <f t="shared" si="36"/>
        <v>1.8380843243809099E-5</v>
      </c>
      <c r="AD266">
        <f t="shared" si="36"/>
        <v>2.2347336142082281E-4</v>
      </c>
      <c r="AE266">
        <f t="shared" si="36"/>
        <v>2.7964806852154718E-5</v>
      </c>
      <c r="AF266">
        <f t="shared" si="36"/>
        <v>3.0572415855221433E-4</v>
      </c>
      <c r="AG266">
        <f t="shared" si="36"/>
        <v>-5.4697827096245499E-4</v>
      </c>
      <c r="AH266">
        <f t="shared" si="36"/>
        <v>2.9801152444603352E-4</v>
      </c>
      <c r="AI266">
        <f t="shared" si="36"/>
        <v>3.5117331302352293E-4</v>
      </c>
      <c r="AJ266">
        <f t="shared" si="36"/>
        <v>1.3172291064526512E-3</v>
      </c>
      <c r="AK266">
        <f t="shared" si="36"/>
        <v>4.4241385713604287E-4</v>
      </c>
      <c r="AL266">
        <f t="shared" si="36"/>
        <v>2.4401259006386555E-4</v>
      </c>
      <c r="AM266">
        <f t="shared" si="36"/>
        <v>4.1624679126623591E-4</v>
      </c>
      <c r="AN266">
        <f t="shared" si="36"/>
        <v>2.6030634576112641E-4</v>
      </c>
      <c r="AO266">
        <f t="shared" si="36"/>
        <v>-1.3349313963914482E-5</v>
      </c>
      <c r="AP266">
        <f t="shared" si="36"/>
        <v>6.5415577155885038E-5</v>
      </c>
      <c r="AQ266">
        <f t="shared" si="36"/>
        <v>-4.6349952583968663E-6</v>
      </c>
      <c r="AR266"/>
      <c r="AS266"/>
      <c r="AT266"/>
      <c r="AU266"/>
      <c r="AV266"/>
      <c r="AW266"/>
      <c r="AX266"/>
      <c r="AY266"/>
      <c r="AZ266"/>
      <c r="BA266"/>
      <c r="BB266"/>
      <c r="BC266" s="23"/>
      <c r="BD266"/>
      <c r="BE266"/>
    </row>
    <row r="267" spans="1:57" x14ac:dyDescent="0.3">
      <c r="A267">
        <v>1985</v>
      </c>
      <c r="B267">
        <f t="shared" si="37"/>
        <v>-1.5749466778788442E-4</v>
      </c>
      <c r="C267">
        <f t="shared" si="37"/>
        <v>-4.7149954733036913E-4</v>
      </c>
      <c r="D267">
        <f t="shared" si="37"/>
        <v>-1.5632851129904432E-4</v>
      </c>
      <c r="E267">
        <f t="shared" si="37"/>
        <v>6.4728627235809946E-4</v>
      </c>
      <c r="F267">
        <f t="shared" si="37"/>
        <v>6.0730822370076048E-4</v>
      </c>
      <c r="G267">
        <f t="shared" si="37"/>
        <v>6.4597207428003446E-4</v>
      </c>
      <c r="H267">
        <f t="shared" si="37"/>
        <v>4.3156716928670942E-5</v>
      </c>
      <c r="I267">
        <f t="shared" si="37"/>
        <v>5.2443109845933379E-4</v>
      </c>
      <c r="J267">
        <f t="shared" si="37"/>
        <v>4.3844832691211213E-5</v>
      </c>
      <c r="K267">
        <f t="shared" si="37"/>
        <v>1.131239530937551E-4</v>
      </c>
      <c r="L267">
        <f t="shared" si="37"/>
        <v>1.2446565057975625E-4</v>
      </c>
      <c r="M267">
        <f t="shared" si="37"/>
        <v>1.1493611338453012E-4</v>
      </c>
      <c r="N267">
        <f t="shared" si="37"/>
        <v>2.8172524839745509E-4</v>
      </c>
      <c r="O267">
        <f t="shared" si="37"/>
        <v>6.6025227021639858E-4</v>
      </c>
      <c r="P267">
        <f t="shared" si="37"/>
        <v>3.5182842642243203E-4</v>
      </c>
      <c r="Q267"/>
      <c r="R267"/>
      <c r="S267"/>
      <c r="T267"/>
      <c r="U267"/>
      <c r="V267"/>
      <c r="W267">
        <f t="shared" si="36"/>
        <v>3.8978410589098608E-5</v>
      </c>
      <c r="X267">
        <f t="shared" si="36"/>
        <v>2.11245166676514E-4</v>
      </c>
      <c r="Y267">
        <f t="shared" si="36"/>
        <v>5.6751939015736911E-5</v>
      </c>
      <c r="Z267">
        <f t="shared" si="36"/>
        <v>-2.3556944031480506E-6</v>
      </c>
      <c r="AA267">
        <f t="shared" si="36"/>
        <v>3.0930933452532098E-5</v>
      </c>
      <c r="AB267">
        <f t="shared" si="36"/>
        <v>9.5940274468909442E-7</v>
      </c>
      <c r="AC267">
        <f t="shared" si="36"/>
        <v>1.4652181025502864E-5</v>
      </c>
      <c r="AD267">
        <f t="shared" si="36"/>
        <v>8.2202006348347747E-5</v>
      </c>
      <c r="AE267">
        <f t="shared" si="36"/>
        <v>1.7762058376258472E-5</v>
      </c>
      <c r="AF267">
        <f t="shared" si="36"/>
        <v>2.8789108944610978E-4</v>
      </c>
      <c r="AG267">
        <f t="shared" si="36"/>
        <v>-5.1994099767072293E-4</v>
      </c>
      <c r="AH267">
        <f t="shared" si="36"/>
        <v>2.8022095646439707E-4</v>
      </c>
      <c r="AI267">
        <f t="shared" si="36"/>
        <v>3.611831247704984E-4</v>
      </c>
      <c r="AJ267">
        <f t="shared" si="36"/>
        <v>1.0086628488491277E-3</v>
      </c>
      <c r="AK267">
        <f t="shared" si="36"/>
        <v>4.2559473711400509E-4</v>
      </c>
      <c r="AL267">
        <f t="shared" si="36"/>
        <v>1.8996167723961418E-4</v>
      </c>
      <c r="AM267">
        <f t="shared" si="36"/>
        <v>9.0131896951350162E-4</v>
      </c>
      <c r="AN267">
        <f t="shared" si="36"/>
        <v>2.5905049034511324E-4</v>
      </c>
      <c r="AO267">
        <f t="shared" si="36"/>
        <v>-6.2760178756881747E-6</v>
      </c>
      <c r="AP267">
        <f t="shared" si="36"/>
        <v>2.0222838640296199E-5</v>
      </c>
      <c r="AQ267">
        <f t="shared" si="36"/>
        <v>-3.3324208035799535E-6</v>
      </c>
      <c r="AR267"/>
      <c r="AS267"/>
      <c r="AT267"/>
      <c r="AU267"/>
      <c r="AV267"/>
      <c r="AW267"/>
      <c r="AX267"/>
      <c r="AY267"/>
      <c r="AZ267"/>
      <c r="BA267"/>
      <c r="BB267"/>
      <c r="BC267" s="23"/>
      <c r="BD267"/>
      <c r="BE267"/>
    </row>
    <row r="268" spans="1:57" x14ac:dyDescent="0.3">
      <c r="A268">
        <v>1986</v>
      </c>
      <c r="B268">
        <f t="shared" si="37"/>
        <v>-3.6109370202701469E-4</v>
      </c>
      <c r="C268">
        <f t="shared" si="37"/>
        <v>6.1970297857344208E-3</v>
      </c>
      <c r="D268">
        <f t="shared" si="37"/>
        <v>-1.4255398853823308E-4</v>
      </c>
      <c r="E268">
        <f t="shared" si="37"/>
        <v>6.7017994796964562E-4</v>
      </c>
      <c r="F268">
        <f t="shared" si="37"/>
        <v>-4.2468398644364354E-4</v>
      </c>
      <c r="G268">
        <f t="shared" si="37"/>
        <v>6.3222860531632645E-4</v>
      </c>
      <c r="H268">
        <f t="shared" si="37"/>
        <v>-1.657236030291444E-5</v>
      </c>
      <c r="I268">
        <f t="shared" si="37"/>
        <v>7.0701036260323617E-3</v>
      </c>
      <c r="J268">
        <f t="shared" si="37"/>
        <v>-9.2840916314825238E-6</v>
      </c>
      <c r="K268">
        <f t="shared" si="37"/>
        <v>1.4440277079978369E-4</v>
      </c>
      <c r="L268">
        <f t="shared" si="37"/>
        <v>1.5189634457034044E-4</v>
      </c>
      <c r="M268">
        <f t="shared" si="37"/>
        <v>1.4559330847468667E-4</v>
      </c>
      <c r="N268">
        <f t="shared" si="37"/>
        <v>5.1638239813594556E-4</v>
      </c>
      <c r="O268">
        <f t="shared" si="37"/>
        <v>1.8760245138936668E-4</v>
      </c>
      <c r="P268">
        <f t="shared" si="37"/>
        <v>4.501209756617501E-4</v>
      </c>
      <c r="Q268"/>
      <c r="R268"/>
      <c r="S268"/>
      <c r="T268"/>
      <c r="U268"/>
      <c r="V268"/>
      <c r="W268">
        <f t="shared" si="36"/>
        <v>4.750791202339013E-5</v>
      </c>
      <c r="X268">
        <f t="shared" si="36"/>
        <v>1.1258668214105211E-4</v>
      </c>
      <c r="Y268">
        <f t="shared" si="36"/>
        <v>5.4217824002024395E-5</v>
      </c>
      <c r="Z268">
        <f t="shared" ref="Z268:AQ268" si="38">(Z210-Z142)/Z142</f>
        <v>3.2477931591703878E-6</v>
      </c>
      <c r="AA268">
        <f t="shared" si="38"/>
        <v>5.3619710971655785E-5</v>
      </c>
      <c r="AB268">
        <f t="shared" si="38"/>
        <v>8.3670414841954594E-6</v>
      </c>
      <c r="AC268">
        <f t="shared" si="38"/>
        <v>1.2273438701385179E-5</v>
      </c>
      <c r="AD268">
        <f t="shared" si="38"/>
        <v>-1.8986611490660874E-4</v>
      </c>
      <c r="AE268">
        <f t="shared" si="38"/>
        <v>3.0141819864049414E-6</v>
      </c>
      <c r="AF268">
        <f t="shared" si="38"/>
        <v>3.3166230579811555E-4</v>
      </c>
      <c r="AG268">
        <f t="shared" si="38"/>
        <v>7.4434073290113238E-4</v>
      </c>
      <c r="AH268">
        <f t="shared" si="38"/>
        <v>3.3586734564468995E-4</v>
      </c>
      <c r="AI268">
        <f t="shared" si="38"/>
        <v>6.1900501409522537E-4</v>
      </c>
      <c r="AJ268">
        <f t="shared" si="38"/>
        <v>8.6015445731009064E-4</v>
      </c>
      <c r="AK268">
        <f t="shared" si="38"/>
        <v>6.4425271975168024E-4</v>
      </c>
      <c r="AL268">
        <f t="shared" si="38"/>
        <v>3.3850851587097995E-4</v>
      </c>
      <c r="AM268">
        <f t="shared" si="38"/>
        <v>9.2701101244186898E-4</v>
      </c>
      <c r="AN268">
        <f t="shared" si="38"/>
        <v>3.9849039021144935E-4</v>
      </c>
      <c r="AO268">
        <f t="shared" si="38"/>
        <v>-9.8365106753299537E-6</v>
      </c>
      <c r="AP268">
        <f t="shared" si="38"/>
        <v>8.6953405264836859E-5</v>
      </c>
      <c r="AQ268">
        <f t="shared" si="38"/>
        <v>1.0954946125068117E-6</v>
      </c>
      <c r="AR268"/>
      <c r="AS268"/>
      <c r="AT268"/>
      <c r="AU268"/>
      <c r="AV268"/>
      <c r="AW268"/>
      <c r="AX268"/>
      <c r="AY268"/>
      <c r="AZ268"/>
      <c r="BA268"/>
      <c r="BB268"/>
      <c r="BC268" s="23"/>
      <c r="BD268"/>
      <c r="BE268"/>
    </row>
    <row r="269" spans="1:57" x14ac:dyDescent="0.3">
      <c r="A269">
        <v>1987</v>
      </c>
      <c r="B269">
        <f t="shared" si="37"/>
        <v>3.3063102958749523E-4</v>
      </c>
      <c r="C269">
        <f t="shared" si="37"/>
        <v>1.7253504761207366E-3</v>
      </c>
      <c r="D269">
        <f t="shared" si="37"/>
        <v>4.091034357109284E-4</v>
      </c>
      <c r="E269">
        <f t="shared" si="37"/>
        <v>4.1712486255223309E-4</v>
      </c>
      <c r="F269">
        <f t="shared" si="37"/>
        <v>-3.4849238520269478E-5</v>
      </c>
      <c r="G269">
        <f t="shared" si="37"/>
        <v>4.0264822976735474E-4</v>
      </c>
      <c r="H269">
        <f t="shared" si="37"/>
        <v>-1.8327870800307482E-5</v>
      </c>
      <c r="I269">
        <f t="shared" si="37"/>
        <v>5.6122431234940744E-4</v>
      </c>
      <c r="J269">
        <f t="shared" si="37"/>
        <v>-1.7478269214419347E-5</v>
      </c>
      <c r="K269">
        <f t="shared" si="37"/>
        <v>1.0617768544030728E-4</v>
      </c>
      <c r="L269">
        <f t="shared" si="37"/>
        <v>1.3540377132191785E-4</v>
      </c>
      <c r="M269">
        <f t="shared" si="37"/>
        <v>1.1083052163251123E-4</v>
      </c>
      <c r="N269">
        <f t="shared" si="37"/>
        <v>5.7951520873396356E-4</v>
      </c>
      <c r="O269">
        <f t="shared" si="37"/>
        <v>4.9444335582045807E-4</v>
      </c>
      <c r="P269">
        <f t="shared" si="37"/>
        <v>5.6368586696961206E-4</v>
      </c>
      <c r="Q269"/>
      <c r="R269"/>
      <c r="S269"/>
      <c r="T269"/>
      <c r="U269"/>
      <c r="V269"/>
      <c r="W269">
        <f t="shared" ref="W269:AQ281" si="39">(W211-W143)/W143</f>
        <v>5.0280183757238721E-5</v>
      </c>
      <c r="X269">
        <f t="shared" si="39"/>
        <v>1.92266469274961E-4</v>
      </c>
      <c r="Y269">
        <f t="shared" si="39"/>
        <v>6.4907752615892805E-5</v>
      </c>
      <c r="Z269">
        <f t="shared" si="39"/>
        <v>-2.3291580155693984E-7</v>
      </c>
      <c r="AA269">
        <f t="shared" si="39"/>
        <v>6.3474535294612519E-5</v>
      </c>
      <c r="AB269">
        <f t="shared" si="39"/>
        <v>6.3607463176842664E-6</v>
      </c>
      <c r="AC269">
        <f t="shared" si="39"/>
        <v>-1.0202210184457732E-5</v>
      </c>
      <c r="AD269">
        <f t="shared" si="39"/>
        <v>2.0438969686305104E-4</v>
      </c>
      <c r="AE269">
        <f t="shared" si="39"/>
        <v>-2.1532909577241467E-7</v>
      </c>
      <c r="AF269">
        <f t="shared" si="39"/>
        <v>2.1983944214577265E-4</v>
      </c>
      <c r="AG269">
        <f t="shared" si="39"/>
        <v>-1.3837254946986878E-3</v>
      </c>
      <c r="AH269">
        <f t="shared" si="39"/>
        <v>2.0241996681451317E-4</v>
      </c>
      <c r="AI269">
        <f t="shared" si="39"/>
        <v>5.3919733628303337E-4</v>
      </c>
      <c r="AJ269">
        <f t="shared" si="39"/>
        <v>1.7093625255566825E-3</v>
      </c>
      <c r="AK269">
        <f t="shared" si="39"/>
        <v>6.5697959766739238E-4</v>
      </c>
      <c r="AL269">
        <f t="shared" si="39"/>
        <v>1.9495640020069686E-4</v>
      </c>
      <c r="AM269">
        <f t="shared" si="39"/>
        <v>1.4208771876599369E-4</v>
      </c>
      <c r="AN269">
        <f t="shared" si="39"/>
        <v>1.8973060145628112E-4</v>
      </c>
      <c r="AO269">
        <f t="shared" si="39"/>
        <v>-8.0973988945928081E-6</v>
      </c>
      <c r="AP269">
        <f t="shared" si="39"/>
        <v>4.3417670017110642E-5</v>
      </c>
      <c r="AQ269">
        <f t="shared" si="39"/>
        <v>-2.1291999005106952E-6</v>
      </c>
      <c r="AR269"/>
      <c r="AS269"/>
      <c r="AT269"/>
      <c r="AU269"/>
      <c r="AV269"/>
      <c r="AW269"/>
      <c r="AX269"/>
      <c r="AY269"/>
      <c r="AZ269"/>
      <c r="BA269"/>
      <c r="BB269"/>
      <c r="BC269" s="23"/>
      <c r="BD269"/>
      <c r="BE269"/>
    </row>
    <row r="270" spans="1:57" x14ac:dyDescent="0.3">
      <c r="A270">
        <v>1988</v>
      </c>
      <c r="B270">
        <f t="shared" si="37"/>
        <v>-1.0317912937428556E-4</v>
      </c>
      <c r="C270">
        <f t="shared" si="37"/>
        <v>-1.8706998852336693E-3</v>
      </c>
      <c r="D270">
        <f t="shared" si="37"/>
        <v>-1.3759420992509133E-4</v>
      </c>
      <c r="E270">
        <f t="shared" si="37"/>
        <v>3.8648625526609305E-4</v>
      </c>
      <c r="F270">
        <f t="shared" si="37"/>
        <v>9.1880057115921042E-4</v>
      </c>
      <c r="G270">
        <f t="shared" si="37"/>
        <v>4.049454668598633E-4</v>
      </c>
      <c r="H270">
        <f t="shared" si="37"/>
        <v>7.4796497189585977E-5</v>
      </c>
      <c r="I270">
        <f t="shared" si="37"/>
        <v>1.8198098148890782E-3</v>
      </c>
      <c r="J270">
        <f t="shared" si="37"/>
        <v>7.7161794871293598E-5</v>
      </c>
      <c r="K270">
        <f t="shared" si="37"/>
        <v>9.3975670974982736E-5</v>
      </c>
      <c r="L270">
        <f t="shared" si="37"/>
        <v>1.3190467681260457E-4</v>
      </c>
      <c r="M270">
        <f t="shared" si="37"/>
        <v>1.0002211543627835E-4</v>
      </c>
      <c r="N270">
        <f t="shared" si="37"/>
        <v>3.4573589480201201E-4</v>
      </c>
      <c r="O270">
        <f t="shared" si="37"/>
        <v>1.3068132411457325E-3</v>
      </c>
      <c r="P270">
        <f t="shared" si="37"/>
        <v>5.2374892060513074E-4</v>
      </c>
      <c r="Q270"/>
      <c r="R270"/>
      <c r="S270"/>
      <c r="T270"/>
      <c r="U270"/>
      <c r="V270"/>
      <c r="W270">
        <f t="shared" si="39"/>
        <v>5.1546257581209472E-5</v>
      </c>
      <c r="X270">
        <f t="shared" si="39"/>
        <v>1.7616313952713736E-4</v>
      </c>
      <c r="Y270">
        <f t="shared" si="39"/>
        <v>6.4621433301832799E-5</v>
      </c>
      <c r="Z270">
        <f t="shared" si="39"/>
        <v>-3.1701782741761654E-6</v>
      </c>
      <c r="AA270">
        <f t="shared" si="39"/>
        <v>3.025368165653937E-5</v>
      </c>
      <c r="AB270">
        <f t="shared" si="39"/>
        <v>4.27970536548686E-7</v>
      </c>
      <c r="AC270">
        <f t="shared" si="39"/>
        <v>1.1443203075411995E-5</v>
      </c>
      <c r="AD270">
        <f t="shared" si="39"/>
        <v>3.2624037904581638E-4</v>
      </c>
      <c r="AE270">
        <f t="shared" si="39"/>
        <v>2.6990111478308031E-5</v>
      </c>
      <c r="AF270">
        <f t="shared" si="39"/>
        <v>4.3851996461625564E-4</v>
      </c>
      <c r="AG270">
        <f t="shared" si="39"/>
        <v>0</v>
      </c>
      <c r="AH270">
        <f t="shared" si="39"/>
        <v>4.3379169059908009E-4</v>
      </c>
      <c r="AI270">
        <f t="shared" si="39"/>
        <v>5.5781642453502187E-4</v>
      </c>
      <c r="AJ270">
        <f t="shared" si="39"/>
        <v>1.2120498353359243E-3</v>
      </c>
      <c r="AK270">
        <f t="shared" si="39"/>
        <v>6.2352590816874408E-4</v>
      </c>
      <c r="AL270">
        <f t="shared" si="39"/>
        <v>3.7142899200941914E-4</v>
      </c>
      <c r="AM270">
        <f t="shared" si="39"/>
        <v>4.4239384320882201E-4</v>
      </c>
      <c r="AN270">
        <f t="shared" si="39"/>
        <v>3.7861429554375287E-4</v>
      </c>
      <c r="AO270">
        <f t="shared" si="39"/>
        <v>-4.9027906845473243E-6</v>
      </c>
      <c r="AP270">
        <f t="shared" si="39"/>
        <v>3.1239865731899821E-5</v>
      </c>
      <c r="AQ270">
        <f t="shared" si="39"/>
        <v>-5.2051315739288227E-7</v>
      </c>
      <c r="AR270"/>
      <c r="AS270"/>
      <c r="AT270"/>
      <c r="AU270"/>
      <c r="AV270"/>
      <c r="AW270"/>
      <c r="AX270"/>
      <c r="AY270"/>
      <c r="AZ270"/>
      <c r="BA270"/>
      <c r="BB270"/>
      <c r="BC270" s="23"/>
      <c r="BD270"/>
      <c r="BE270"/>
    </row>
    <row r="271" spans="1:57" x14ac:dyDescent="0.3">
      <c r="A271">
        <v>1989</v>
      </c>
      <c r="B271">
        <f t="shared" si="37"/>
        <v>1.6280662762265679E-4</v>
      </c>
      <c r="C271">
        <f t="shared" si="37"/>
        <v>3.9541200546398944E-3</v>
      </c>
      <c r="D271">
        <f t="shared" si="37"/>
        <v>-3.6500197133940479E-4</v>
      </c>
      <c r="E271">
        <f t="shared" si="37"/>
        <v>4.4784021664000479E-4</v>
      </c>
      <c r="F271">
        <f t="shared" si="37"/>
        <v>7.1056321421788648E-4</v>
      </c>
      <c r="G271">
        <f t="shared" si="37"/>
        <v>4.5676777169612683E-4</v>
      </c>
      <c r="H271">
        <f t="shared" si="37"/>
        <v>1.0208894865936605E-5</v>
      </c>
      <c r="I271">
        <f t="shared" si="37"/>
        <v>4.9648184191136259E-3</v>
      </c>
      <c r="J271">
        <f t="shared" si="37"/>
        <v>2.0142044019126839E-5</v>
      </c>
      <c r="K271">
        <f t="shared" si="37"/>
        <v>9.802847775292807E-5</v>
      </c>
      <c r="L271">
        <f t="shared" si="37"/>
        <v>1.2847354020460253E-4</v>
      </c>
      <c r="M271">
        <f t="shared" si="37"/>
        <v>1.0286931872692083E-4</v>
      </c>
      <c r="N271">
        <f t="shared" si="37"/>
        <v>5.3189812844001724E-4</v>
      </c>
      <c r="O271">
        <f t="shared" si="37"/>
        <v>9.6536538893103694E-4</v>
      </c>
      <c r="P271">
        <f t="shared" si="37"/>
        <v>6.0531958902032134E-4</v>
      </c>
      <c r="Q271"/>
      <c r="R271"/>
      <c r="S271"/>
      <c r="T271"/>
      <c r="U271"/>
      <c r="V271"/>
      <c r="W271">
        <f t="shared" si="39"/>
        <v>4.8838642350314977E-5</v>
      </c>
      <c r="X271">
        <f t="shared" si="39"/>
        <v>1.665480817803884E-4</v>
      </c>
      <c r="Y271">
        <f t="shared" si="39"/>
        <v>6.1071933176005543E-5</v>
      </c>
      <c r="Z271">
        <f t="shared" si="39"/>
        <v>-1.7006790460935276E-5</v>
      </c>
      <c r="AA271">
        <f t="shared" si="39"/>
        <v>6.9486402981198871E-5</v>
      </c>
      <c r="AB271">
        <f t="shared" si="39"/>
        <v>-8.1131831331074692E-6</v>
      </c>
      <c r="AC271">
        <f t="shared" si="39"/>
        <v>2.8545720263384436E-5</v>
      </c>
      <c r="AD271">
        <f t="shared" si="39"/>
        <v>1.312821365104927E-4</v>
      </c>
      <c r="AE271">
        <f t="shared" si="39"/>
        <v>3.3465374839548783E-5</v>
      </c>
      <c r="AF271">
        <f t="shared" si="39"/>
        <v>4.4871897044796967E-4</v>
      </c>
      <c r="AG271">
        <f t="shared" si="39"/>
        <v>4.4852268699087307E-4</v>
      </c>
      <c r="AH271">
        <f t="shared" si="39"/>
        <v>4.4871684981963279E-4</v>
      </c>
      <c r="AI271">
        <f t="shared" si="39"/>
        <v>6.7465661537747786E-4</v>
      </c>
      <c r="AJ271">
        <f t="shared" si="39"/>
        <v>1.0031086614470399E-3</v>
      </c>
      <c r="AK271">
        <f t="shared" si="39"/>
        <v>7.0659367288762988E-4</v>
      </c>
      <c r="AL271">
        <f t="shared" si="39"/>
        <v>3.6595873342687608E-4</v>
      </c>
      <c r="AM271">
        <f t="shared" si="39"/>
        <v>1.0416728342694688E-3</v>
      </c>
      <c r="AN271">
        <f t="shared" si="39"/>
        <v>4.3116803252287247E-4</v>
      </c>
      <c r="AO271">
        <f t="shared" si="39"/>
        <v>-1.1523707110336267E-5</v>
      </c>
      <c r="AP271">
        <f t="shared" si="39"/>
        <v>6.0344395691954189E-5</v>
      </c>
      <c r="AQ271">
        <f t="shared" si="39"/>
        <v>-3.2303689665640324E-6</v>
      </c>
      <c r="AR271"/>
      <c r="AS271"/>
      <c r="AT271"/>
      <c r="AU271"/>
      <c r="AV271"/>
      <c r="AW271"/>
      <c r="AX271"/>
      <c r="AY271"/>
      <c r="AZ271"/>
      <c r="BA271"/>
      <c r="BB271"/>
      <c r="BC271" s="23"/>
      <c r="BD271"/>
      <c r="BE271"/>
    </row>
    <row r="272" spans="1:57" x14ac:dyDescent="0.3">
      <c r="A272">
        <v>1990</v>
      </c>
      <c r="B272">
        <f t="shared" si="37"/>
        <v>1.6533225826325721E-4</v>
      </c>
      <c r="C272">
        <f t="shared" si="37"/>
        <v>2.1705979257291928E-3</v>
      </c>
      <c r="D272">
        <f t="shared" si="37"/>
        <v>1.8387189145674745E-4</v>
      </c>
      <c r="E272">
        <f t="shared" si="37"/>
        <v>3.0696066368195813E-4</v>
      </c>
      <c r="F272">
        <f t="shared" si="37"/>
        <v>-3.3394781185733306E-4</v>
      </c>
      <c r="G272">
        <f t="shared" si="37"/>
        <v>2.8566222647670247E-4</v>
      </c>
      <c r="H272">
        <f t="shared" si="37"/>
        <v>-8.1679923491879046E-6</v>
      </c>
      <c r="I272">
        <f t="shared" si="37"/>
        <v>-2.4745653999186314E-4</v>
      </c>
      <c r="J272">
        <f t="shared" si="37"/>
        <v>-8.5785684245696713E-6</v>
      </c>
      <c r="K272">
        <f t="shared" si="37"/>
        <v>1.2881864811265217E-4</v>
      </c>
      <c r="L272">
        <f t="shared" si="37"/>
        <v>1.8018976957765072E-4</v>
      </c>
      <c r="M272">
        <f t="shared" si="37"/>
        <v>1.3702023811954767E-4</v>
      </c>
      <c r="N272">
        <f t="shared" si="37"/>
        <v>4.2027730612577034E-4</v>
      </c>
      <c r="O272">
        <f t="shared" si="37"/>
        <v>5.1620953584079513E-4</v>
      </c>
      <c r="P272">
        <f t="shared" si="37"/>
        <v>4.3529398654447546E-4</v>
      </c>
      <c r="Q272"/>
      <c r="R272"/>
      <c r="S272"/>
      <c r="T272"/>
      <c r="U272"/>
      <c r="V272"/>
      <c r="W272">
        <f t="shared" si="39"/>
        <v>6.8157227815881006E-5</v>
      </c>
      <c r="X272">
        <f t="shared" si="39"/>
        <v>1.6420035865698728E-4</v>
      </c>
      <c r="Y272">
        <f t="shared" si="39"/>
        <v>7.8047168268296859E-5</v>
      </c>
      <c r="Z272">
        <f t="shared" si="39"/>
        <v>-1.8369985704148017E-5</v>
      </c>
      <c r="AA272">
        <f t="shared" si="39"/>
        <v>8.3396567366029334E-5</v>
      </c>
      <c r="AB272">
        <f t="shared" si="39"/>
        <v>-8.0993624527545942E-6</v>
      </c>
      <c r="AC272">
        <f t="shared" si="39"/>
        <v>5.3194796299334049E-7</v>
      </c>
      <c r="AD272">
        <f t="shared" si="39"/>
        <v>2.1781056184871526E-4</v>
      </c>
      <c r="AE272">
        <f t="shared" si="39"/>
        <v>1.0571679774451887E-5</v>
      </c>
      <c r="AF272">
        <f t="shared" si="39"/>
        <v>3.7496021117885671E-4</v>
      </c>
      <c r="AG272">
        <f t="shared" si="39"/>
        <v>2.1538017127468867E-4</v>
      </c>
      <c r="AH272">
        <f t="shared" si="39"/>
        <v>3.7300095808652251E-4</v>
      </c>
      <c r="AI272">
        <f t="shared" si="39"/>
        <v>4.112309799661184E-4</v>
      </c>
      <c r="AJ272">
        <f t="shared" si="39"/>
        <v>1.8067563532543135E-3</v>
      </c>
      <c r="AK272">
        <f t="shared" si="39"/>
        <v>5.4685082668993416E-4</v>
      </c>
      <c r="AL272">
        <f t="shared" si="39"/>
        <v>3.5235409422805703E-4</v>
      </c>
      <c r="AM272">
        <f t="shared" si="39"/>
        <v>1.2030874952798345E-3</v>
      </c>
      <c r="AN272">
        <f t="shared" si="39"/>
        <v>4.3097904240553038E-4</v>
      </c>
      <c r="AO272">
        <f t="shared" si="39"/>
        <v>-4.0689857275670825E-6</v>
      </c>
      <c r="AP272">
        <f t="shared" si="39"/>
        <v>5.4599761260015498E-5</v>
      </c>
      <c r="AQ272">
        <f t="shared" si="39"/>
        <v>2.5806633463434798E-6</v>
      </c>
      <c r="AR272"/>
      <c r="AS272"/>
      <c r="AT272"/>
      <c r="AU272"/>
      <c r="AV272"/>
      <c r="AW272"/>
      <c r="AX272"/>
      <c r="AY272"/>
      <c r="AZ272"/>
      <c r="BA272"/>
      <c r="BB272"/>
      <c r="BC272" s="23"/>
      <c r="BD272"/>
      <c r="BE272"/>
    </row>
    <row r="273" spans="1:57" x14ac:dyDescent="0.3">
      <c r="A273">
        <v>1991</v>
      </c>
      <c r="B273">
        <f t="shared" si="37"/>
        <v>1.5318316573894639E-2</v>
      </c>
      <c r="C273">
        <f t="shared" si="37"/>
        <v>-2.6005648119244516E-2</v>
      </c>
      <c r="D273">
        <f t="shared" si="37"/>
        <v>1.1523467117234665E-2</v>
      </c>
      <c r="E273">
        <f t="shared" si="37"/>
        <v>3.0816631079850847E-4</v>
      </c>
      <c r="F273">
        <f t="shared" si="37"/>
        <v>-3.6187091667462654E-4</v>
      </c>
      <c r="G273">
        <f t="shared" si="37"/>
        <v>2.8499210148900066E-4</v>
      </c>
      <c r="H273">
        <f t="shared" si="37"/>
        <v>4.9434215806838004E-5</v>
      </c>
      <c r="I273">
        <f t="shared" si="37"/>
        <v>8.4409984774102111E-4</v>
      </c>
      <c r="J273">
        <f t="shared" si="37"/>
        <v>5.0840212707502437E-5</v>
      </c>
      <c r="K273">
        <f t="shared" si="37"/>
        <v>1.3212678589165914E-4</v>
      </c>
      <c r="L273">
        <f t="shared" si="37"/>
        <v>1.6463582859225869E-4</v>
      </c>
      <c r="M273">
        <f t="shared" si="37"/>
        <v>1.3728954511727914E-4</v>
      </c>
      <c r="N273">
        <f t="shared" si="37"/>
        <v>2.3572604491727781E-4</v>
      </c>
      <c r="O273">
        <f t="shared" si="37"/>
        <v>6.5792571595916908E-4</v>
      </c>
      <c r="P273">
        <f t="shared" si="37"/>
        <v>2.9731999195229487E-4</v>
      </c>
      <c r="Q273"/>
      <c r="R273"/>
      <c r="S273"/>
      <c r="T273"/>
      <c r="U273"/>
      <c r="V273"/>
      <c r="W273">
        <f t="shared" si="39"/>
        <v>6.262943773128778E-5</v>
      </c>
      <c r="X273">
        <f t="shared" si="39"/>
        <v>1.9941688627016983E-4</v>
      </c>
      <c r="Y273">
        <f t="shared" si="39"/>
        <v>7.6647687894414309E-5</v>
      </c>
      <c r="Z273">
        <f t="shared" si="39"/>
        <v>-2.0375931746227523E-5</v>
      </c>
      <c r="AA273">
        <f t="shared" si="39"/>
        <v>1.7541304827419776E-4</v>
      </c>
      <c r="AB273">
        <f t="shared" si="39"/>
        <v>-4.1618763255423966E-7</v>
      </c>
      <c r="AC273">
        <f t="shared" si="39"/>
        <v>3.5427228421631068E-5</v>
      </c>
      <c r="AD273">
        <f t="shared" si="39"/>
        <v>2.4281398950099626E-4</v>
      </c>
      <c r="AE273">
        <f t="shared" si="39"/>
        <v>4.4846926714295211E-5</v>
      </c>
      <c r="AF273">
        <f t="shared" si="39"/>
        <v>4.510123827987785E-4</v>
      </c>
      <c r="AG273">
        <f t="shared" si="39"/>
        <v>1.0228580592089084E-3</v>
      </c>
      <c r="AH273">
        <f t="shared" si="39"/>
        <v>4.5822756712491199E-4</v>
      </c>
      <c r="AI273">
        <f t="shared" si="39"/>
        <v>4.7854986531835401E-4</v>
      </c>
      <c r="AJ273">
        <f t="shared" si="39"/>
        <v>1.1557814052119463E-3</v>
      </c>
      <c r="AK273">
        <f t="shared" si="39"/>
        <v>5.4439795983182238E-4</v>
      </c>
      <c r="AL273">
        <f t="shared" si="39"/>
        <v>3.4780521626617101E-4</v>
      </c>
      <c r="AM273">
        <f t="shared" si="39"/>
        <v>9.3067652763323698E-4</v>
      </c>
      <c r="AN273">
        <f t="shared" si="39"/>
        <v>4.0245816813904854E-4</v>
      </c>
      <c r="AO273">
        <f t="shared" si="39"/>
        <v>-1.3034142541077931E-5</v>
      </c>
      <c r="AP273">
        <f t="shared" si="39"/>
        <v>1.3722762961595976E-4</v>
      </c>
      <c r="AQ273">
        <f t="shared" si="39"/>
        <v>4.3361397736428853E-6</v>
      </c>
      <c r="AR273"/>
      <c r="AS273"/>
      <c r="AT273"/>
      <c r="AU273"/>
      <c r="AV273"/>
      <c r="AW273"/>
      <c r="AX273"/>
      <c r="AY273"/>
      <c r="AZ273"/>
      <c r="BA273"/>
      <c r="BB273"/>
      <c r="BC273" s="23"/>
      <c r="BD273"/>
      <c r="BE273"/>
    </row>
    <row r="274" spans="1:57" x14ac:dyDescent="0.3">
      <c r="A274">
        <v>1992</v>
      </c>
      <c r="B274">
        <f t="shared" si="37"/>
        <v>-2.5879436027787146E-4</v>
      </c>
      <c r="C274">
        <f t="shared" si="37"/>
        <v>1.5330527170171042E-2</v>
      </c>
      <c r="D274">
        <f t="shared" si="37"/>
        <v>-3.4586120929215163E-4</v>
      </c>
      <c r="E274">
        <f t="shared" si="37"/>
        <v>5.3900278347840944E-4</v>
      </c>
      <c r="F274">
        <f t="shared" si="37"/>
        <v>2.5480207152515527E-3</v>
      </c>
      <c r="G274">
        <f t="shared" si="37"/>
        <v>5.9985585999969672E-4</v>
      </c>
      <c r="H274">
        <f t="shared" si="37"/>
        <v>2.8515830085815149E-6</v>
      </c>
      <c r="I274">
        <f t="shared" si="37"/>
        <v>3.3645890154406079E-3</v>
      </c>
      <c r="J274">
        <f t="shared" si="37"/>
        <v>7.8739047463837459E-6</v>
      </c>
      <c r="K274">
        <f t="shared" si="37"/>
        <v>1.1076613501610118E-4</v>
      </c>
      <c r="L274">
        <f t="shared" si="37"/>
        <v>1.0315507398147338E-4</v>
      </c>
      <c r="M274">
        <f t="shared" si="37"/>
        <v>1.0956551735944794E-4</v>
      </c>
      <c r="N274">
        <f t="shared" si="37"/>
        <v>4.802220095515112E-4</v>
      </c>
      <c r="O274">
        <f t="shared" si="37"/>
        <v>7.221992905100524E-4</v>
      </c>
      <c r="P274">
        <f t="shared" si="37"/>
        <v>5.1600598130922761E-4</v>
      </c>
      <c r="Q274"/>
      <c r="R274"/>
      <c r="S274"/>
      <c r="T274"/>
      <c r="U274"/>
      <c r="V274"/>
      <c r="W274">
        <f t="shared" si="39"/>
        <v>6.6167788178220002E-5</v>
      </c>
      <c r="X274">
        <f t="shared" si="39"/>
        <v>1.6357677300143293E-4</v>
      </c>
      <c r="Y274">
        <f t="shared" si="39"/>
        <v>7.6002999793731157E-5</v>
      </c>
      <c r="Z274">
        <f t="shared" si="39"/>
        <v>5.2217635512964035E-7</v>
      </c>
      <c r="AA274">
        <f t="shared" si="39"/>
        <v>2.0020233902673056E-5</v>
      </c>
      <c r="AB274">
        <f t="shared" si="39"/>
        <v>2.451712853550815E-6</v>
      </c>
      <c r="AC274">
        <f t="shared" si="39"/>
        <v>-6.0488400528814051E-6</v>
      </c>
      <c r="AD274">
        <f t="shared" si="39"/>
        <v>8.1132958202604049E-5</v>
      </c>
      <c r="AE274">
        <f t="shared" si="39"/>
        <v>-2.2769053984392743E-6</v>
      </c>
      <c r="AF274">
        <f t="shared" si="39"/>
        <v>3.9430636503331215E-4</v>
      </c>
      <c r="AG274">
        <f t="shared" si="39"/>
        <v>3.3883456680728775E-3</v>
      </c>
      <c r="AH274">
        <f t="shared" si="39"/>
        <v>4.3152575516213799E-4</v>
      </c>
      <c r="AI274">
        <f t="shared" si="39"/>
        <v>5.5238694664065484E-4</v>
      </c>
      <c r="AJ274">
        <f t="shared" si="39"/>
        <v>1.4353138243502616E-3</v>
      </c>
      <c r="AK274">
        <f t="shared" si="39"/>
        <v>6.3232062069731789E-4</v>
      </c>
      <c r="AL274">
        <f t="shared" si="39"/>
        <v>3.3794152171071301E-4</v>
      </c>
      <c r="AM274">
        <f t="shared" si="39"/>
        <v>7.0045250450013173E-4</v>
      </c>
      <c r="AN274">
        <f t="shared" si="39"/>
        <v>3.712587461816647E-4</v>
      </c>
      <c r="AO274">
        <f t="shared" si="39"/>
        <v>1.8264779691866101E-6</v>
      </c>
      <c r="AP274">
        <f t="shared" si="39"/>
        <v>2.0238450204438482E-5</v>
      </c>
      <c r="AQ274">
        <f t="shared" si="39"/>
        <v>3.8878746131808769E-6</v>
      </c>
      <c r="AR274"/>
      <c r="AS274"/>
      <c r="AT274"/>
      <c r="AU274"/>
      <c r="AV274"/>
      <c r="AW274"/>
      <c r="AX274"/>
      <c r="AY274"/>
      <c r="AZ274"/>
      <c r="BA274"/>
      <c r="BB274"/>
      <c r="BC274" s="23"/>
      <c r="BD274"/>
      <c r="BE274"/>
    </row>
    <row r="275" spans="1:57" x14ac:dyDescent="0.3">
      <c r="A275">
        <v>1993</v>
      </c>
      <c r="B275">
        <f t="shared" ref="B275:P290" si="40">(B217-B149)/B149</f>
        <v>-1.1210967942766815E-4</v>
      </c>
      <c r="C275">
        <f t="shared" si="40"/>
        <v>1.2763577850466109E-2</v>
      </c>
      <c r="D275">
        <f t="shared" si="40"/>
        <v>-3.5151303559954688E-4</v>
      </c>
      <c r="E275">
        <f t="shared" si="40"/>
        <v>6.5582680682342521E-4</v>
      </c>
      <c r="F275">
        <f t="shared" si="40"/>
        <v>1.3937497029858088E-3</v>
      </c>
      <c r="G275">
        <f t="shared" si="40"/>
        <v>6.7808627194499164E-4</v>
      </c>
      <c r="H275">
        <f t="shared" si="40"/>
        <v>2.9497391011703375E-5</v>
      </c>
      <c r="I275">
        <f t="shared" si="40"/>
        <v>2.9873344367419589E-3</v>
      </c>
      <c r="J275">
        <f t="shared" si="40"/>
        <v>3.3785093152074896E-5</v>
      </c>
      <c r="K275">
        <f t="shared" si="40"/>
        <v>9.8885996899170675E-5</v>
      </c>
      <c r="L275">
        <f t="shared" si="40"/>
        <v>8.9935371827804032E-5</v>
      </c>
      <c r="M275">
        <f t="shared" si="40"/>
        <v>9.7474357118340374E-5</v>
      </c>
      <c r="N275">
        <f t="shared" si="40"/>
        <v>3.4957955525360886E-4</v>
      </c>
      <c r="O275">
        <f t="shared" si="40"/>
        <v>5.6036789895831706E-4</v>
      </c>
      <c r="P275">
        <f t="shared" si="40"/>
        <v>3.7818817226286186E-4</v>
      </c>
      <c r="Q275"/>
      <c r="R275"/>
      <c r="S275"/>
      <c r="T275"/>
      <c r="U275"/>
      <c r="V275"/>
      <c r="W275">
        <f t="shared" si="39"/>
        <v>4.5834025866404256E-5</v>
      </c>
      <c r="X275">
        <f t="shared" si="39"/>
        <v>1.5213473671909044E-4</v>
      </c>
      <c r="Y275">
        <f t="shared" si="39"/>
        <v>5.655311270027786E-5</v>
      </c>
      <c r="Z275">
        <f t="shared" si="39"/>
        <v>-2.7005598403668581E-6</v>
      </c>
      <c r="AA275">
        <f t="shared" si="39"/>
        <v>2.7862757655569253E-5</v>
      </c>
      <c r="AB275">
        <f t="shared" si="39"/>
        <v>4.0786977779882385E-7</v>
      </c>
      <c r="AC275">
        <f t="shared" si="39"/>
        <v>1.3540723295613686E-5</v>
      </c>
      <c r="AD275">
        <f t="shared" si="39"/>
        <v>-6.2053111377528562E-5</v>
      </c>
      <c r="AE275">
        <f t="shared" si="39"/>
        <v>1.0373406566269151E-5</v>
      </c>
      <c r="AF275">
        <f t="shared" si="39"/>
        <v>-3.1054366864808448E-5</v>
      </c>
      <c r="AG275">
        <f t="shared" si="39"/>
        <v>3.8409099997767653E-4</v>
      </c>
      <c r="AH275">
        <f t="shared" si="39"/>
        <v>-2.5645823006692686E-5</v>
      </c>
      <c r="AI275">
        <f t="shared" si="39"/>
        <v>5.3154153574071455E-4</v>
      </c>
      <c r="AJ275">
        <f t="shared" si="39"/>
        <v>1.3364735134155392E-3</v>
      </c>
      <c r="AK275">
        <f t="shared" si="39"/>
        <v>6.0933744403425625E-4</v>
      </c>
      <c r="AL275">
        <f t="shared" si="39"/>
        <v>3.5793881241779729E-4</v>
      </c>
      <c r="AM275">
        <f t="shared" si="39"/>
        <v>8.4292346550467146E-4</v>
      </c>
      <c r="AN275">
        <f t="shared" si="39"/>
        <v>4.0484199540856999E-4</v>
      </c>
      <c r="AO275">
        <f t="shared" si="39"/>
        <v>-1.1198328679670276E-5</v>
      </c>
      <c r="AP275">
        <f t="shared" si="39"/>
        <v>-1.0969796179443398E-5</v>
      </c>
      <c r="AQ275">
        <f t="shared" si="39"/>
        <v>-1.1171926751547255E-5</v>
      </c>
      <c r="AR275"/>
      <c r="AS275"/>
      <c r="AT275"/>
      <c r="AU275"/>
      <c r="AV275"/>
      <c r="AW275"/>
      <c r="AX275"/>
      <c r="AY275"/>
      <c r="AZ275"/>
      <c r="BA275"/>
      <c r="BB275"/>
      <c r="BC275" s="23"/>
      <c r="BD275"/>
      <c r="BE275"/>
    </row>
    <row r="276" spans="1:57" x14ac:dyDescent="0.3">
      <c r="A276">
        <v>1994</v>
      </c>
      <c r="B276">
        <f t="shared" si="40"/>
        <v>8.7837715908424465E-4</v>
      </c>
      <c r="C276">
        <f t="shared" si="40"/>
        <v>-0.21510347457296108</v>
      </c>
      <c r="D276">
        <f t="shared" si="40"/>
        <v>1.7463277623981125E-3</v>
      </c>
      <c r="E276">
        <f t="shared" si="40"/>
        <v>4.3174228789039825E-4</v>
      </c>
      <c r="F276">
        <f t="shared" si="40"/>
        <v>1.1903850890418179E-3</v>
      </c>
      <c r="G276">
        <f t="shared" si="40"/>
        <v>4.5283415807601814E-4</v>
      </c>
      <c r="H276">
        <f t="shared" si="40"/>
        <v>-9.7384669097355119E-6</v>
      </c>
      <c r="I276">
        <f t="shared" si="40"/>
        <v>6.1222834072482343E-3</v>
      </c>
      <c r="J276">
        <f t="shared" si="40"/>
        <v>-3.7816616622660992E-7</v>
      </c>
      <c r="K276">
        <f t="shared" si="40"/>
        <v>1.3049082753682735E-4</v>
      </c>
      <c r="L276">
        <f t="shared" si="40"/>
        <v>1.1348596663680627E-4</v>
      </c>
      <c r="M276">
        <f t="shared" si="40"/>
        <v>1.2778815670759825E-4</v>
      </c>
      <c r="N276">
        <f t="shared" si="40"/>
        <v>1.7638975474076361E-4</v>
      </c>
      <c r="O276">
        <f t="shared" si="40"/>
        <v>9.6546830305746414E-4</v>
      </c>
      <c r="P276">
        <f t="shared" si="40"/>
        <v>2.8210586917418038E-4</v>
      </c>
      <c r="Q276"/>
      <c r="R276"/>
      <c r="S276"/>
      <c r="T276"/>
      <c r="U276"/>
      <c r="V276"/>
      <c r="W276">
        <f t="shared" si="39"/>
        <v>5.6130223817633663E-5</v>
      </c>
      <c r="X276">
        <f t="shared" si="39"/>
        <v>1.4316667783897881E-4</v>
      </c>
      <c r="Y276">
        <f t="shared" si="39"/>
        <v>6.4977287909208069E-5</v>
      </c>
      <c r="Z276">
        <f t="shared" si="39"/>
        <v>1.4315388056013987E-7</v>
      </c>
      <c r="AA276">
        <f t="shared" si="39"/>
        <v>3.871696243136331E-5</v>
      </c>
      <c r="AB276">
        <f t="shared" si="39"/>
        <v>4.0504010058183613E-6</v>
      </c>
      <c r="AC276">
        <f t="shared" si="39"/>
        <v>1.6590431220949196E-5</v>
      </c>
      <c r="AD276">
        <f t="shared" si="39"/>
        <v>2.2286662129699094E-4</v>
      </c>
      <c r="AE276">
        <f t="shared" si="39"/>
        <v>2.5261495918985484E-5</v>
      </c>
      <c r="AF276">
        <f t="shared" si="39"/>
        <v>2.3636449807387373E-4</v>
      </c>
      <c r="AG276">
        <f t="shared" si="39"/>
        <v>1.1072150345802162E-3</v>
      </c>
      <c r="AH276">
        <f t="shared" si="39"/>
        <v>2.4805121990650761E-4</v>
      </c>
      <c r="AI276">
        <f t="shared" si="39"/>
        <v>5.7665912999972982E-4</v>
      </c>
      <c r="AJ276">
        <f t="shared" si="39"/>
        <v>1.0694117342769564E-3</v>
      </c>
      <c r="AK276">
        <f t="shared" si="39"/>
        <v>6.2748463913282315E-4</v>
      </c>
      <c r="AL276">
        <f t="shared" si="39"/>
        <v>2.925559019086644E-4</v>
      </c>
      <c r="AM276">
        <f t="shared" si="39"/>
        <v>6.590779783961062E-4</v>
      </c>
      <c r="AN276">
        <f t="shared" si="39"/>
        <v>3.3041758768649469E-4</v>
      </c>
      <c r="AO276">
        <f t="shared" si="39"/>
        <v>-3.8558218656854932E-6</v>
      </c>
      <c r="AP276">
        <f t="shared" si="39"/>
        <v>2.94849163461482E-5</v>
      </c>
      <c r="AQ276">
        <f t="shared" si="39"/>
        <v>-4.124686799134864E-8</v>
      </c>
      <c r="AR276"/>
      <c r="AS276"/>
      <c r="AT276"/>
      <c r="AU276"/>
      <c r="AV276"/>
      <c r="AW276"/>
      <c r="AX276"/>
      <c r="AY276"/>
      <c r="AZ276"/>
      <c r="BA276"/>
      <c r="BB276"/>
      <c r="BC276" s="23"/>
      <c r="BD276"/>
      <c r="BE276"/>
    </row>
    <row r="277" spans="1:57" x14ac:dyDescent="0.3">
      <c r="A277">
        <v>1995</v>
      </c>
      <c r="B277">
        <f t="shared" si="40"/>
        <v>1.8618920708818735E-4</v>
      </c>
      <c r="C277">
        <f t="shared" si="40"/>
        <v>-1.3218163079433207</v>
      </c>
      <c r="D277">
        <f t="shared" si="40"/>
        <v>-4.3719346050537285E-5</v>
      </c>
      <c r="E277">
        <f t="shared" si="40"/>
        <v>5.693691696494848E-4</v>
      </c>
      <c r="F277">
        <f t="shared" si="40"/>
        <v>1.7784223090045756E-3</v>
      </c>
      <c r="G277">
        <f t="shared" si="40"/>
        <v>6.0791706538012409E-4</v>
      </c>
      <c r="H277">
        <f t="shared" si="40"/>
        <v>-9.6711217508326618E-8</v>
      </c>
      <c r="I277">
        <f t="shared" si="40"/>
        <v>-4.830033707560139E-3</v>
      </c>
      <c r="J277">
        <f t="shared" si="40"/>
        <v>-6.0086706138906388E-6</v>
      </c>
      <c r="K277">
        <f t="shared" si="40"/>
        <v>1.0508398125115288E-4</v>
      </c>
      <c r="L277">
        <f t="shared" si="40"/>
        <v>1.3887756152987634E-4</v>
      </c>
      <c r="M277">
        <f t="shared" si="40"/>
        <v>1.104740469741008E-4</v>
      </c>
      <c r="N277">
        <f t="shared" si="40"/>
        <v>3.9145560562934607E-4</v>
      </c>
      <c r="O277">
        <f t="shared" si="40"/>
        <v>8.2000106422716357E-5</v>
      </c>
      <c r="P277">
        <f t="shared" si="40"/>
        <v>3.5425795300992984E-4</v>
      </c>
      <c r="Q277"/>
      <c r="R277"/>
      <c r="S277"/>
      <c r="T277"/>
      <c r="U277"/>
      <c r="V277"/>
      <c r="W277">
        <f t="shared" si="39"/>
        <v>6.1588398040859124E-5</v>
      </c>
      <c r="X277">
        <f t="shared" si="39"/>
        <v>1.708805017852367E-4</v>
      </c>
      <c r="Y277">
        <f t="shared" si="39"/>
        <v>7.2652525263791455E-5</v>
      </c>
      <c r="Z277">
        <f t="shared" si="39"/>
        <v>-6.5399901111747254E-6</v>
      </c>
      <c r="AA277">
        <f t="shared" si="39"/>
        <v>4.5989402795488434E-5</v>
      </c>
      <c r="AB277">
        <f t="shared" si="39"/>
        <v>-1.1499017970699527E-6</v>
      </c>
      <c r="AC277">
        <f t="shared" si="39"/>
        <v>-1.2871461733800152E-5</v>
      </c>
      <c r="AD277">
        <f t="shared" si="39"/>
        <v>6.3154481026173287E-4</v>
      </c>
      <c r="AE277">
        <f t="shared" si="39"/>
        <v>1.354086140816476E-5</v>
      </c>
      <c r="AF277">
        <f t="shared" si="39"/>
        <v>3.5027849968994544E-4</v>
      </c>
      <c r="AG277">
        <f t="shared" si="39"/>
        <v>1.0365708586581846E-3</v>
      </c>
      <c r="AH277">
        <f t="shared" si="39"/>
        <v>3.5994700308391426E-4</v>
      </c>
      <c r="AI277">
        <f t="shared" si="39"/>
        <v>4.2783343533463105E-4</v>
      </c>
      <c r="AJ277">
        <f t="shared" si="39"/>
        <v>1.1472202036639384E-3</v>
      </c>
      <c r="AK277">
        <f t="shared" si="39"/>
        <v>5.0001361765050442E-4</v>
      </c>
      <c r="AL277">
        <f t="shared" si="39"/>
        <v>3.0856892822983659E-4</v>
      </c>
      <c r="AM277">
        <f t="shared" si="39"/>
        <v>6.7766874788261985E-4</v>
      </c>
      <c r="AN277">
        <f t="shared" si="39"/>
        <v>3.4503756408861162E-4</v>
      </c>
      <c r="AO277">
        <f t="shared" si="39"/>
        <v>-7.9368397024346247E-6</v>
      </c>
      <c r="AP277">
        <f t="shared" si="39"/>
        <v>2.7791599770631996E-5</v>
      </c>
      <c r="AQ277">
        <f t="shared" si="39"/>
        <v>-3.7404610380257002E-6</v>
      </c>
      <c r="AR277"/>
      <c r="AS277"/>
      <c r="AT277"/>
      <c r="AU277"/>
      <c r="AV277"/>
      <c r="AW277"/>
      <c r="AX277"/>
      <c r="AY277"/>
      <c r="AZ277"/>
      <c r="BA277"/>
      <c r="BB277"/>
      <c r="BC277" s="23"/>
      <c r="BD277"/>
      <c r="BE277"/>
    </row>
    <row r="278" spans="1:57" x14ac:dyDescent="0.3">
      <c r="A278">
        <v>1996</v>
      </c>
      <c r="B278">
        <f t="shared" si="40"/>
        <v>1.8361294577707205E-4</v>
      </c>
      <c r="C278">
        <f t="shared" si="40"/>
        <v>-3.7510622251252759E-3</v>
      </c>
      <c r="D278">
        <f t="shared" si="40"/>
        <v>1.1019751731463633E-4</v>
      </c>
      <c r="E278">
        <f t="shared" si="40"/>
        <v>4.9818369924952365E-4</v>
      </c>
      <c r="F278">
        <f t="shared" si="40"/>
        <v>1.4784482240266536E-3</v>
      </c>
      <c r="G278">
        <f t="shared" si="40"/>
        <v>5.3137780136006108E-4</v>
      </c>
      <c r="H278">
        <f t="shared" si="40"/>
        <v>3.2997720213806795E-5</v>
      </c>
      <c r="I278">
        <f t="shared" si="40"/>
        <v>4.298290908482584E-3</v>
      </c>
      <c r="J278">
        <f t="shared" si="40"/>
        <v>4.036922099283582E-5</v>
      </c>
      <c r="K278">
        <f t="shared" si="40"/>
        <v>1.1559732598238601E-4</v>
      </c>
      <c r="L278">
        <f t="shared" si="40"/>
        <v>1.3329220654312871E-4</v>
      </c>
      <c r="M278">
        <f t="shared" si="40"/>
        <v>1.1840721505025829E-4</v>
      </c>
      <c r="N278">
        <f t="shared" si="40"/>
        <v>2.9698535032693883E-4</v>
      </c>
      <c r="O278">
        <f t="shared" si="40"/>
        <v>7.6414875005906258E-4</v>
      </c>
      <c r="P278">
        <f t="shared" si="40"/>
        <v>3.4865519266674732E-4</v>
      </c>
      <c r="Q278"/>
      <c r="R278"/>
      <c r="S278"/>
      <c r="T278"/>
      <c r="U278"/>
      <c r="V278"/>
      <c r="W278">
        <f t="shared" si="39"/>
        <v>5.3980090568433519E-5</v>
      </c>
      <c r="X278">
        <f t="shared" si="39"/>
        <v>1.4613212012149534E-4</v>
      </c>
      <c r="Y278">
        <f t="shared" si="39"/>
        <v>6.3115525806601677E-5</v>
      </c>
      <c r="Z278">
        <f t="shared" si="39"/>
        <v>-4.3711882585918034E-6</v>
      </c>
      <c r="AA278">
        <f t="shared" si="39"/>
        <v>7.8250106210731539E-5</v>
      </c>
      <c r="AB278">
        <f t="shared" si="39"/>
        <v>3.7041126185335639E-6</v>
      </c>
      <c r="AC278">
        <f t="shared" si="39"/>
        <v>9.6799368298680537E-6</v>
      </c>
      <c r="AD278">
        <f t="shared" si="39"/>
        <v>3.9736361957190823E-4</v>
      </c>
      <c r="AE278">
        <f t="shared" si="39"/>
        <v>2.4043736198401439E-5</v>
      </c>
      <c r="AF278">
        <f t="shared" si="39"/>
        <v>2.8479132493362184E-4</v>
      </c>
      <c r="AG278">
        <f t="shared" si="39"/>
        <v>8.3937697024738381E-4</v>
      </c>
      <c r="AH278">
        <f t="shared" si="39"/>
        <v>2.9275448935455855E-4</v>
      </c>
      <c r="AI278">
        <f t="shared" si="39"/>
        <v>5.4639447644583598E-4</v>
      </c>
      <c r="AJ278">
        <f t="shared" si="39"/>
        <v>1.4707003743133279E-3</v>
      </c>
      <c r="AK278">
        <f t="shared" si="39"/>
        <v>6.3655584033611918E-4</v>
      </c>
      <c r="AL278">
        <f t="shared" si="39"/>
        <v>3.6135908986581548E-4</v>
      </c>
      <c r="AM278">
        <f t="shared" si="39"/>
        <v>7.1844768595031065E-4</v>
      </c>
      <c r="AN278">
        <f t="shared" si="39"/>
        <v>3.9617697885055902E-4</v>
      </c>
      <c r="AO278">
        <f t="shared" si="39"/>
        <v>1.4703289048113624E-6</v>
      </c>
      <c r="AP278">
        <f t="shared" si="39"/>
        <v>5.1683274574498019E-5</v>
      </c>
      <c r="AQ278">
        <f t="shared" si="39"/>
        <v>7.089181231533984E-6</v>
      </c>
      <c r="AR278"/>
      <c r="AS278"/>
      <c r="AT278"/>
      <c r="AU278"/>
      <c r="AV278"/>
      <c r="AW278"/>
      <c r="AX278"/>
      <c r="AY278"/>
      <c r="AZ278"/>
      <c r="BA278"/>
      <c r="BB278"/>
      <c r="BC278" s="23"/>
      <c r="BD278"/>
      <c r="BE278"/>
    </row>
    <row r="279" spans="1:57" x14ac:dyDescent="0.3">
      <c r="A279">
        <v>1997</v>
      </c>
      <c r="B279">
        <f t="shared" si="40"/>
        <v>-1.8100196913783907E-4</v>
      </c>
      <c r="C279">
        <f t="shared" si="40"/>
        <v>0.10107600946451886</v>
      </c>
      <c r="D279">
        <f t="shared" si="40"/>
        <v>9.2398246016901192E-5</v>
      </c>
      <c r="E279">
        <f t="shared" si="40"/>
        <v>4.5544246391789479E-4</v>
      </c>
      <c r="F279">
        <f t="shared" si="40"/>
        <v>4.5920735695651355E-4</v>
      </c>
      <c r="G279">
        <f t="shared" si="40"/>
        <v>4.5556210598786731E-4</v>
      </c>
      <c r="H279">
        <f t="shared" si="40"/>
        <v>2.2375532369139083E-5</v>
      </c>
      <c r="I279">
        <f t="shared" si="40"/>
        <v>-2.9387809064296056E-3</v>
      </c>
      <c r="J279">
        <f t="shared" si="40"/>
        <v>1.6709100163238874E-5</v>
      </c>
      <c r="K279">
        <f t="shared" si="40"/>
        <v>1.683084205864849E-4</v>
      </c>
      <c r="L279">
        <f t="shared" si="40"/>
        <v>4.6262645321790286E-5</v>
      </c>
      <c r="M279">
        <f t="shared" si="40"/>
        <v>1.4895662491869844E-4</v>
      </c>
      <c r="N279">
        <f t="shared" si="40"/>
        <v>2.8387537777270955E-4</v>
      </c>
      <c r="O279">
        <f t="shared" si="40"/>
        <v>1.1111696885687181E-3</v>
      </c>
      <c r="P279">
        <f t="shared" si="40"/>
        <v>3.7176705222338632E-4</v>
      </c>
      <c r="Q279"/>
      <c r="R279"/>
      <c r="S279"/>
      <c r="T279"/>
      <c r="U279"/>
      <c r="V279"/>
      <c r="W279">
        <f t="shared" si="39"/>
        <v>8.9118819527276834E-5</v>
      </c>
      <c r="X279">
        <f t="shared" si="39"/>
        <v>1.0226719289239826E-4</v>
      </c>
      <c r="Y279">
        <f t="shared" si="39"/>
        <v>9.0422818986940517E-5</v>
      </c>
      <c r="Z279">
        <f t="shared" si="39"/>
        <v>2.0623321658456966E-6</v>
      </c>
      <c r="AA279">
        <f t="shared" si="39"/>
        <v>-4.8967607759704583E-5</v>
      </c>
      <c r="AB279">
        <f t="shared" si="39"/>
        <v>-2.893461810694205E-6</v>
      </c>
      <c r="AC279">
        <f t="shared" si="39"/>
        <v>3.6461005304844043E-5</v>
      </c>
      <c r="AD279">
        <f t="shared" si="39"/>
        <v>7.6420429522471803E-4</v>
      </c>
      <c r="AE279">
        <f t="shared" si="39"/>
        <v>6.3913191067499492E-5</v>
      </c>
      <c r="AF279">
        <f t="shared" si="39"/>
        <v>3.9878961271927395E-4</v>
      </c>
      <c r="AG279">
        <f t="shared" si="39"/>
        <v>9.8241760608517204E-4</v>
      </c>
      <c r="AH279">
        <f t="shared" si="39"/>
        <v>4.0753447971524992E-4</v>
      </c>
      <c r="AI279">
        <f t="shared" si="39"/>
        <v>6.0181448395232428E-4</v>
      </c>
      <c r="AJ279">
        <f t="shared" si="39"/>
        <v>1.0390983304562481E-3</v>
      </c>
      <c r="AK279">
        <f t="shared" si="39"/>
        <v>6.4440504211831754E-4</v>
      </c>
      <c r="AL279">
        <f t="shared" si="39"/>
        <v>3.0545620566740125E-4</v>
      </c>
      <c r="AM279">
        <f t="shared" si="39"/>
        <v>9.1449575365362484E-4</v>
      </c>
      <c r="AN279">
        <f t="shared" si="39"/>
        <v>3.6317250863046445E-4</v>
      </c>
      <c r="AO279">
        <f t="shared" si="39"/>
        <v>-1.269095302801475E-6</v>
      </c>
      <c r="AP279">
        <f t="shared" si="39"/>
        <v>-6.8275250010973288E-5</v>
      </c>
      <c r="AQ279">
        <f t="shared" si="39"/>
        <v>-8.7473882883900927E-6</v>
      </c>
      <c r="AR279"/>
      <c r="AS279"/>
      <c r="AT279"/>
      <c r="AU279"/>
      <c r="AV279"/>
      <c r="AW279"/>
      <c r="AX279"/>
      <c r="AY279"/>
      <c r="AZ279"/>
      <c r="BA279"/>
      <c r="BB279"/>
      <c r="BC279" s="23"/>
      <c r="BD279"/>
      <c r="BE279"/>
    </row>
    <row r="280" spans="1:57" x14ac:dyDescent="0.3">
      <c r="A280">
        <v>1998</v>
      </c>
      <c r="B280">
        <f t="shared" si="40"/>
        <v>-2.395395636059303E-4</v>
      </c>
      <c r="C280">
        <f t="shared" si="40"/>
        <v>-1.9067228499965963E-2</v>
      </c>
      <c r="D280">
        <f t="shared" si="40"/>
        <v>-4.7821100186648194E-4</v>
      </c>
      <c r="E280">
        <f t="shared" si="40"/>
        <v>4.6396564474836835E-4</v>
      </c>
      <c r="F280">
        <f t="shared" si="40"/>
        <v>-3.2378770046391378E-4</v>
      </c>
      <c r="G280">
        <f t="shared" si="40"/>
        <v>4.391323864929383E-4</v>
      </c>
      <c r="H280">
        <f t="shared" si="40"/>
        <v>1.4637239629114915E-6</v>
      </c>
      <c r="I280">
        <f t="shared" si="40"/>
        <v>-3.1741924667634831E-3</v>
      </c>
      <c r="J280">
        <f t="shared" si="40"/>
        <v>-3.8973113747037242E-6</v>
      </c>
      <c r="K280">
        <f t="shared" si="40"/>
        <v>1.4403801472701145E-4</v>
      </c>
      <c r="L280">
        <f t="shared" si="40"/>
        <v>8.4968348280743469E-5</v>
      </c>
      <c r="M280">
        <f t="shared" si="40"/>
        <v>1.3453985760376029E-4</v>
      </c>
      <c r="N280">
        <f t="shared" si="40"/>
        <v>2.3077422568898695E-4</v>
      </c>
      <c r="O280">
        <f t="shared" si="40"/>
        <v>6.3621105462807E-4</v>
      </c>
      <c r="P280">
        <f t="shared" si="40"/>
        <v>2.7407947284819548E-4</v>
      </c>
      <c r="Q280"/>
      <c r="R280"/>
      <c r="S280"/>
      <c r="T280"/>
      <c r="U280"/>
      <c r="V280"/>
      <c r="W280">
        <f t="shared" si="39"/>
        <v>8.2956757990766613E-5</v>
      </c>
      <c r="X280">
        <f t="shared" si="39"/>
        <v>6.5333198252683414E-5</v>
      </c>
      <c r="Y280">
        <f t="shared" si="39"/>
        <v>8.1202035973188213E-5</v>
      </c>
      <c r="Z280">
        <f t="shared" si="39"/>
        <v>-7.0180864822825868E-6</v>
      </c>
      <c r="AA280">
        <f t="shared" si="39"/>
        <v>-2.0127572917343943E-5</v>
      </c>
      <c r="AB280">
        <f t="shared" si="39"/>
        <v>-8.3025301913759569E-6</v>
      </c>
      <c r="AC280">
        <f t="shared" si="39"/>
        <v>4.0191875902622783E-6</v>
      </c>
      <c r="AD280">
        <f t="shared" si="39"/>
        <v>2.6084249437008882E-4</v>
      </c>
      <c r="AE280">
        <f t="shared" si="39"/>
        <v>1.2498190481529111E-5</v>
      </c>
      <c r="AF280">
        <f t="shared" si="39"/>
        <v>4.2087764841049847E-4</v>
      </c>
      <c r="AG280">
        <f t="shared" si="39"/>
        <v>1.9048355353822467E-3</v>
      </c>
      <c r="AH280">
        <f t="shared" si="39"/>
        <v>4.4450982811402998E-4</v>
      </c>
      <c r="AI280">
        <f t="shared" si="39"/>
        <v>6.4310264254866022E-4</v>
      </c>
      <c r="AJ280">
        <f t="shared" si="39"/>
        <v>1.2805192404104066E-3</v>
      </c>
      <c r="AK280">
        <f t="shared" si="39"/>
        <v>7.0309303804595041E-4</v>
      </c>
      <c r="AL280">
        <f t="shared" si="39"/>
        <v>3.3736666867075518E-4</v>
      </c>
      <c r="AM280">
        <f t="shared" si="39"/>
        <v>8.0262156005534552E-4</v>
      </c>
      <c r="AN280">
        <f t="shared" si="39"/>
        <v>3.7982381665996578E-4</v>
      </c>
      <c r="AO280">
        <f t="shared" si="39"/>
        <v>7.0337858314530134E-7</v>
      </c>
      <c r="AP280">
        <f t="shared" si="39"/>
        <v>6.8097097900150267E-6</v>
      </c>
      <c r="AQ280">
        <f t="shared" si="39"/>
        <v>1.3926808294899563E-6</v>
      </c>
      <c r="AR280"/>
      <c r="AS280"/>
      <c r="AT280"/>
      <c r="AU280"/>
      <c r="AV280"/>
      <c r="AW280"/>
      <c r="AX280"/>
      <c r="AY280"/>
      <c r="AZ280"/>
      <c r="BA280"/>
      <c r="BB280"/>
      <c r="BC280" s="23"/>
      <c r="BD280"/>
      <c r="BE280"/>
    </row>
    <row r="281" spans="1:57" x14ac:dyDescent="0.3">
      <c r="A281">
        <v>1999</v>
      </c>
      <c r="B281">
        <f t="shared" si="40"/>
        <v>-1.2010490101440823E-4</v>
      </c>
      <c r="C281">
        <f t="shared" si="40"/>
        <v>-3.364213822365375E-3</v>
      </c>
      <c r="D281">
        <f t="shared" si="40"/>
        <v>-1.8176773993515107E-4</v>
      </c>
      <c r="E281">
        <f t="shared" si="40"/>
        <v>4.7230537309327655E-4</v>
      </c>
      <c r="F281">
        <f t="shared" si="40"/>
        <v>4.6042422609815015E-4</v>
      </c>
      <c r="G281">
        <f t="shared" si="40"/>
        <v>4.7191980400450843E-4</v>
      </c>
      <c r="H281">
        <f t="shared" si="40"/>
        <v>-6.1659889738513008E-6</v>
      </c>
      <c r="I281">
        <f t="shared" si="40"/>
        <v>-1.7951689777289609E-3</v>
      </c>
      <c r="J281">
        <f t="shared" si="40"/>
        <v>-8.8015381768000886E-6</v>
      </c>
      <c r="K281">
        <f t="shared" si="40"/>
        <v>1.4799261076264291E-4</v>
      </c>
      <c r="L281">
        <f t="shared" si="40"/>
        <v>8.0027528033380202E-5</v>
      </c>
      <c r="M281">
        <f t="shared" si="40"/>
        <v>1.3694926544233454E-4</v>
      </c>
      <c r="N281">
        <f t="shared" si="40"/>
        <v>3.194572070303739E-4</v>
      </c>
      <c r="O281">
        <f t="shared" si="40"/>
        <v>8.7991962216718849E-4</v>
      </c>
      <c r="P281">
        <f t="shared" si="40"/>
        <v>3.7899843103836019E-4</v>
      </c>
      <c r="Q281"/>
      <c r="R281"/>
      <c r="S281"/>
      <c r="T281"/>
      <c r="U281"/>
      <c r="V281"/>
      <c r="W281">
        <f t="shared" si="39"/>
        <v>5.593384661131272E-5</v>
      </c>
      <c r="X281">
        <f t="shared" si="39"/>
        <v>2.2706968695210286E-4</v>
      </c>
      <c r="Y281">
        <f t="shared" si="39"/>
        <v>7.3218340743137742E-5</v>
      </c>
      <c r="Z281">
        <f t="shared" ref="Z281:AQ281" si="41">(Z223-Z155)/Z155</f>
        <v>-1.6404701529998442E-6</v>
      </c>
      <c r="AA281">
        <f t="shared" si="41"/>
        <v>5.8840927982858212E-5</v>
      </c>
      <c r="AB281">
        <f t="shared" si="41"/>
        <v>4.3922766738749781E-6</v>
      </c>
      <c r="AC281">
        <f t="shared" si="41"/>
        <v>1.0841728662974634E-5</v>
      </c>
      <c r="AD281">
        <f t="shared" si="41"/>
        <v>3.6840045783990445E-4</v>
      </c>
      <c r="AE281">
        <f t="shared" si="41"/>
        <v>2.3398597808504629E-5</v>
      </c>
      <c r="AF281">
        <f t="shared" si="41"/>
        <v>2.8008505149567037E-4</v>
      </c>
      <c r="AG281">
        <f t="shared" si="41"/>
        <v>1.5282303898280108E-3</v>
      </c>
      <c r="AH281">
        <f t="shared" si="41"/>
        <v>3.0080025470630275E-4</v>
      </c>
      <c r="AI281">
        <f t="shared" si="41"/>
        <v>4.8787615995650978E-4</v>
      </c>
      <c r="AJ281">
        <f t="shared" si="41"/>
        <v>1.3257137500449255E-3</v>
      </c>
      <c r="AK281">
        <f t="shared" si="41"/>
        <v>5.6761799980501631E-4</v>
      </c>
      <c r="AL281">
        <f t="shared" si="41"/>
        <v>2.7463330960733476E-4</v>
      </c>
      <c r="AM281">
        <f t="shared" si="41"/>
        <v>7.4155658888167735E-4</v>
      </c>
      <c r="AN281">
        <f t="shared" si="41"/>
        <v>3.1836245768428813E-4</v>
      </c>
      <c r="AO281">
        <f t="shared" si="41"/>
        <v>3.6465423031492006E-6</v>
      </c>
      <c r="AP281">
        <f t="shared" si="41"/>
        <v>5.065456556854565E-5</v>
      </c>
      <c r="AQ281">
        <f t="shared" si="41"/>
        <v>9.0405508275834438E-6</v>
      </c>
      <c r="AR281"/>
      <c r="AS281"/>
      <c r="AT281"/>
      <c r="AU281"/>
      <c r="AV281"/>
      <c r="AW281"/>
      <c r="AX281"/>
      <c r="AY281"/>
      <c r="AZ281"/>
      <c r="BA281"/>
      <c r="BB281"/>
      <c r="BC281" s="23"/>
      <c r="BD281"/>
      <c r="BE281"/>
    </row>
    <row r="282" spans="1:57" x14ac:dyDescent="0.3">
      <c r="A282">
        <v>2000</v>
      </c>
      <c r="B282">
        <f t="shared" si="40"/>
        <v>8.548719766092377E-4</v>
      </c>
      <c r="C282">
        <f t="shared" si="40"/>
        <v>-2.4418499183265909E-2</v>
      </c>
      <c r="D282">
        <f t="shared" si="40"/>
        <v>1.0160485572784769E-3</v>
      </c>
      <c r="E282">
        <f t="shared" si="40"/>
        <v>4.9724919356517328E-4</v>
      </c>
      <c r="F282">
        <f t="shared" si="40"/>
        <v>2.7290819113205084E-5</v>
      </c>
      <c r="G282">
        <f t="shared" si="40"/>
        <v>4.8200862533399051E-4</v>
      </c>
      <c r="H282">
        <f t="shared" si="40"/>
        <v>-1.6072364154873802E-5</v>
      </c>
      <c r="I282">
        <f t="shared" si="40"/>
        <v>-1.3765549566843832E-4</v>
      </c>
      <c r="J282">
        <f t="shared" si="40"/>
        <v>-1.6238226545822567E-5</v>
      </c>
      <c r="K282">
        <f t="shared" si="40"/>
        <v>1.3528544366018643E-4</v>
      </c>
      <c r="L282">
        <f t="shared" si="40"/>
        <v>1.7739271341678264E-4</v>
      </c>
      <c r="M282">
        <f t="shared" si="40"/>
        <v>1.42160209316044E-4</v>
      </c>
      <c r="N282">
        <f t="shared" si="40"/>
        <v>4.4355410045556431E-4</v>
      </c>
      <c r="O282">
        <f t="shared" si="40"/>
        <v>1.0761529620537894E-3</v>
      </c>
      <c r="P282">
        <f t="shared" si="40"/>
        <v>5.1296399322751972E-4</v>
      </c>
      <c r="Q282"/>
      <c r="R282"/>
      <c r="S282"/>
      <c r="T282"/>
      <c r="U282"/>
      <c r="V282"/>
      <c r="W282">
        <f t="shared" ref="W282:AQ294" si="42">(W224-W156)/W156</f>
        <v>6.780298753368979E-5</v>
      </c>
      <c r="X282">
        <f t="shared" si="42"/>
        <v>1.6200589902488189E-4</v>
      </c>
      <c r="Y282">
        <f t="shared" si="42"/>
        <v>7.7377133321473166E-5</v>
      </c>
      <c r="Z282">
        <f t="shared" si="42"/>
        <v>-9.8416386659915621E-6</v>
      </c>
      <c r="AA282">
        <f t="shared" si="42"/>
        <v>4.6741548695481593E-5</v>
      </c>
      <c r="AB282">
        <f t="shared" si="42"/>
        <v>-4.07020871611689E-6</v>
      </c>
      <c r="AC282">
        <f t="shared" si="42"/>
        <v>1.8259025635192302E-5</v>
      </c>
      <c r="AD282">
        <f t="shared" si="42"/>
        <v>4.2929818151757972E-4</v>
      </c>
      <c r="AE282">
        <f t="shared" si="42"/>
        <v>3.2976704990389211E-5</v>
      </c>
      <c r="AF282">
        <f t="shared" si="42"/>
        <v>2.8925915903722207E-4</v>
      </c>
      <c r="AG282">
        <f t="shared" si="42"/>
        <v>1.5005271263241612E-3</v>
      </c>
      <c r="AH282">
        <f t="shared" si="42"/>
        <v>3.0974882975266972E-4</v>
      </c>
      <c r="AI282">
        <f t="shared" si="42"/>
        <v>5.0615292114064949E-4</v>
      </c>
      <c r="AJ282">
        <f t="shared" si="42"/>
        <v>1.1332255644770914E-3</v>
      </c>
      <c r="AK282">
        <f t="shared" si="42"/>
        <v>5.6717416407694456E-4</v>
      </c>
      <c r="AL282">
        <f t="shared" si="42"/>
        <v>3.6728087556884371E-4</v>
      </c>
      <c r="AM282">
        <f t="shared" si="42"/>
        <v>6.265770412258474E-4</v>
      </c>
      <c r="AN282">
        <f t="shared" si="42"/>
        <v>3.9195185699922763E-4</v>
      </c>
      <c r="AO282">
        <f t="shared" si="42"/>
        <v>-4.3286432235361457E-6</v>
      </c>
      <c r="AP282">
        <f t="shared" si="42"/>
        <v>4.728561020191438E-5</v>
      </c>
      <c r="AQ282">
        <f t="shared" si="42"/>
        <v>1.7278277689734854E-6</v>
      </c>
      <c r="AR282"/>
      <c r="AS282"/>
      <c r="AT282"/>
      <c r="AU282"/>
      <c r="AV282"/>
      <c r="AW282"/>
      <c r="AX282"/>
      <c r="AY282"/>
      <c r="AZ282"/>
      <c r="BA282"/>
      <c r="BB282"/>
      <c r="BC282" s="23"/>
      <c r="BD282"/>
      <c r="BE282"/>
    </row>
    <row r="283" spans="1:57" x14ac:dyDescent="0.3">
      <c r="A283">
        <v>2001</v>
      </c>
      <c r="B283">
        <f t="shared" si="40"/>
        <v>-5.7383208708161157E-6</v>
      </c>
      <c r="C283">
        <f t="shared" si="40"/>
        <v>-7.5249629976096915E-3</v>
      </c>
      <c r="D283">
        <f t="shared" si="40"/>
        <v>-1.7094347626467199E-5</v>
      </c>
      <c r="E283">
        <f t="shared" si="40"/>
        <v>5.5580138482750068E-4</v>
      </c>
      <c r="F283">
        <f t="shared" si="40"/>
        <v>5.7363774794228731E-4</v>
      </c>
      <c r="G283">
        <f t="shared" si="40"/>
        <v>5.5639078076427596E-4</v>
      </c>
      <c r="H283">
        <f t="shared" si="40"/>
        <v>-3.4964215775340466E-5</v>
      </c>
      <c r="I283">
        <f t="shared" si="40"/>
        <v>2.3717515962027001E-3</v>
      </c>
      <c r="J283">
        <f t="shared" si="40"/>
        <v>-3.2064153622697777E-5</v>
      </c>
      <c r="K283">
        <f t="shared" si="40"/>
        <v>1.2075891927560602E-4</v>
      </c>
      <c r="L283">
        <f t="shared" si="40"/>
        <v>1.7570885502312249E-4</v>
      </c>
      <c r="M283">
        <f t="shared" si="40"/>
        <v>1.2972257892148597E-4</v>
      </c>
      <c r="N283">
        <f t="shared" si="40"/>
        <v>3.6307749422349813E-4</v>
      </c>
      <c r="O283">
        <f t="shared" si="40"/>
        <v>3.3464008472203888E-4</v>
      </c>
      <c r="P283">
        <f t="shared" si="40"/>
        <v>3.6021106354477067E-4</v>
      </c>
      <c r="Q283"/>
      <c r="R283"/>
      <c r="S283"/>
      <c r="T283"/>
      <c r="U283"/>
      <c r="V283"/>
      <c r="W283">
        <f t="shared" si="42"/>
        <v>6.7114207199500106E-5</v>
      </c>
      <c r="X283">
        <f t="shared" si="42"/>
        <v>1.5868656492675978E-4</v>
      </c>
      <c r="Y283">
        <f t="shared" si="42"/>
        <v>7.6266213277613538E-5</v>
      </c>
      <c r="Z283">
        <f t="shared" si="42"/>
        <v>-4.1570955584372246E-6</v>
      </c>
      <c r="AA283">
        <f t="shared" si="42"/>
        <v>2.7554736250184933E-6</v>
      </c>
      <c r="AB283">
        <f t="shared" si="42"/>
        <v>-3.4640081779202375E-6</v>
      </c>
      <c r="AC283">
        <f t="shared" si="42"/>
        <v>7.2674766060753185E-6</v>
      </c>
      <c r="AD283">
        <f t="shared" si="42"/>
        <v>1.4088804242779943E-4</v>
      </c>
      <c r="AE283">
        <f t="shared" si="42"/>
        <v>1.168664382421216E-5</v>
      </c>
      <c r="AF283">
        <f t="shared" si="42"/>
        <v>4.3228310259527792E-4</v>
      </c>
      <c r="AG283">
        <f t="shared" si="42"/>
        <v>1.150027927641511E-3</v>
      </c>
      <c r="AH283">
        <f t="shared" si="42"/>
        <v>4.4483535657056082E-4</v>
      </c>
      <c r="AI283">
        <f t="shared" si="42"/>
        <v>4.7787555380406977E-4</v>
      </c>
      <c r="AJ283">
        <f t="shared" si="42"/>
        <v>9.5146265541279785E-4</v>
      </c>
      <c r="AK283">
        <f t="shared" si="42"/>
        <v>5.2132348095563119E-4</v>
      </c>
      <c r="AL283">
        <f t="shared" si="42"/>
        <v>2.9658042003083223E-4</v>
      </c>
      <c r="AM283">
        <f t="shared" si="42"/>
        <v>1.0944122723924507E-3</v>
      </c>
      <c r="AN283">
        <f t="shared" si="42"/>
        <v>3.6772614060206772E-4</v>
      </c>
      <c r="AO283">
        <f t="shared" si="42"/>
        <v>1.3328122858865877E-6</v>
      </c>
      <c r="AP283">
        <f t="shared" si="42"/>
        <v>2.373133455950723E-6</v>
      </c>
      <c r="AQ283">
        <f t="shared" si="42"/>
        <v>1.4538708538543628E-6</v>
      </c>
      <c r="AR283"/>
      <c r="AS283"/>
      <c r="AT283"/>
      <c r="AU283"/>
      <c r="AV283"/>
      <c r="AW283"/>
      <c r="AX283"/>
      <c r="AY283"/>
      <c r="AZ283"/>
      <c r="BA283"/>
      <c r="BB283"/>
      <c r="BC283" s="23"/>
      <c r="BD283"/>
      <c r="BE283"/>
    </row>
    <row r="284" spans="1:57" x14ac:dyDescent="0.3">
      <c r="A284">
        <v>2002</v>
      </c>
      <c r="B284">
        <f t="shared" si="40"/>
        <v>-2.7091874230736042E-4</v>
      </c>
      <c r="C284">
        <f t="shared" si="40"/>
        <v>-5.7682300484840762E-3</v>
      </c>
      <c r="D284">
        <f t="shared" si="40"/>
        <v>-2.2325569618527463E-4</v>
      </c>
      <c r="E284">
        <f t="shared" si="40"/>
        <v>4.1710281419858928E-4</v>
      </c>
      <c r="F284">
        <f t="shared" si="40"/>
        <v>-2.7601185750101009E-5</v>
      </c>
      <c r="G284">
        <f t="shared" si="40"/>
        <v>4.0159310216644214E-4</v>
      </c>
      <c r="H284">
        <f t="shared" si="40"/>
        <v>-2.6418041156168764E-5</v>
      </c>
      <c r="I284">
        <f t="shared" si="40"/>
        <v>2.5624566624677281E-3</v>
      </c>
      <c r="J284">
        <f t="shared" si="40"/>
        <v>-2.2445018147442966E-5</v>
      </c>
      <c r="K284">
        <f t="shared" si="40"/>
        <v>1.3728911460226563E-4</v>
      </c>
      <c r="L284">
        <f t="shared" si="40"/>
        <v>1.5997650454509384E-4</v>
      </c>
      <c r="M284">
        <f t="shared" si="40"/>
        <v>1.4104777652839908E-4</v>
      </c>
      <c r="N284">
        <f t="shared" si="40"/>
        <v>2.1158670990686974E-4</v>
      </c>
      <c r="O284">
        <f t="shared" si="40"/>
        <v>9.6312186676133973E-4</v>
      </c>
      <c r="P284">
        <f t="shared" si="40"/>
        <v>2.7231967868287962E-4</v>
      </c>
      <c r="Q284"/>
      <c r="R284"/>
      <c r="S284"/>
      <c r="T284"/>
      <c r="U284"/>
      <c r="V284"/>
      <c r="W284">
        <f t="shared" si="42"/>
        <v>6.1264474750420727E-5</v>
      </c>
      <c r="X284">
        <f t="shared" si="42"/>
        <v>1.927873737995812E-4</v>
      </c>
      <c r="Y284">
        <f t="shared" si="42"/>
        <v>7.4414024169488957E-5</v>
      </c>
      <c r="Z284">
        <f t="shared" si="42"/>
        <v>-4.2367214817733994E-6</v>
      </c>
      <c r="AA284">
        <f t="shared" si="42"/>
        <v>-5.7191244823683416E-5</v>
      </c>
      <c r="AB284">
        <f t="shared" si="42"/>
        <v>-9.6727169926292459E-6</v>
      </c>
      <c r="AC284">
        <f t="shared" si="42"/>
        <v>7.4050160103726662E-7</v>
      </c>
      <c r="AD284">
        <f t="shared" si="42"/>
        <v>5.1540605918963013E-4</v>
      </c>
      <c r="AE284">
        <f t="shared" si="42"/>
        <v>1.8013270833588587E-5</v>
      </c>
      <c r="AF284">
        <f t="shared" si="42"/>
        <v>4.0959817224621832E-4</v>
      </c>
      <c r="AG284">
        <f t="shared" si="42"/>
        <v>4.181331395393729E-4</v>
      </c>
      <c r="AH284">
        <f t="shared" si="42"/>
        <v>4.0975403649108643E-4</v>
      </c>
      <c r="AI284">
        <f t="shared" si="42"/>
        <v>5.1455985069514989E-4</v>
      </c>
      <c r="AJ284">
        <f t="shared" si="42"/>
        <v>1.6919066962508768E-3</v>
      </c>
      <c r="AK284">
        <f t="shared" si="42"/>
        <v>6.1991820138372438E-4</v>
      </c>
      <c r="AL284">
        <f t="shared" si="42"/>
        <v>2.8844893834424124E-4</v>
      </c>
      <c r="AM284">
        <f t="shared" si="42"/>
        <v>6.7952792802886879E-4</v>
      </c>
      <c r="AN284">
        <f t="shared" si="42"/>
        <v>3.2333173419303758E-4</v>
      </c>
      <c r="AO284">
        <f t="shared" si="42"/>
        <v>6.5251824171080838E-6</v>
      </c>
      <c r="AP284">
        <f t="shared" si="42"/>
        <v>-4.0765961479344268E-5</v>
      </c>
      <c r="AQ284">
        <f t="shared" si="42"/>
        <v>8.1171590197217939E-7</v>
      </c>
      <c r="AR284"/>
      <c r="AS284"/>
      <c r="AT284"/>
      <c r="AU284"/>
      <c r="AV284"/>
      <c r="AW284"/>
      <c r="AX284"/>
      <c r="AY284"/>
      <c r="AZ284"/>
      <c r="BA284"/>
      <c r="BB284"/>
      <c r="BC284" s="23"/>
      <c r="BD284"/>
      <c r="BE284"/>
    </row>
    <row r="285" spans="1:57" x14ac:dyDescent="0.3">
      <c r="A285">
        <v>2003</v>
      </c>
      <c r="B285">
        <f t="shared" si="40"/>
        <v>2.9339873166387884E-4</v>
      </c>
      <c r="C285">
        <f t="shared" si="40"/>
        <v>1.1558010232364333E-2</v>
      </c>
      <c r="D285">
        <f t="shared" si="40"/>
        <v>4.0148444286145738E-4</v>
      </c>
      <c r="E285">
        <f t="shared" si="40"/>
        <v>3.6467787753044609E-4</v>
      </c>
      <c r="F285">
        <f t="shared" si="40"/>
        <v>6.1665244999366145E-4</v>
      </c>
      <c r="G285">
        <f t="shared" si="40"/>
        <v>3.7354915221334966E-4</v>
      </c>
      <c r="H285">
        <f t="shared" si="40"/>
        <v>-1.6563056761197109E-6</v>
      </c>
      <c r="I285">
        <f t="shared" si="40"/>
        <v>4.4244065385524236E-4</v>
      </c>
      <c r="J285">
        <f t="shared" si="40"/>
        <v>-9.9119251844407449E-7</v>
      </c>
      <c r="K285">
        <f t="shared" si="40"/>
        <v>1.3915018600734247E-4</v>
      </c>
      <c r="L285">
        <f t="shared" si="40"/>
        <v>1.8569554189914555E-4</v>
      </c>
      <c r="M285">
        <f t="shared" si="40"/>
        <v>1.4693743200163713E-4</v>
      </c>
      <c r="N285">
        <f t="shared" si="40"/>
        <v>2.7487340482629306E-4</v>
      </c>
      <c r="O285">
        <f t="shared" si="40"/>
        <v>8.3238559992776723E-4</v>
      </c>
      <c r="P285">
        <f t="shared" si="40"/>
        <v>3.2015643769308505E-4</v>
      </c>
      <c r="Q285"/>
      <c r="R285"/>
      <c r="S285"/>
      <c r="T285"/>
      <c r="U285"/>
      <c r="V285"/>
      <c r="W285">
        <f t="shared" si="42"/>
        <v>6.098376978110518E-5</v>
      </c>
      <c r="X285">
        <f t="shared" si="42"/>
        <v>2.165395556879926E-4</v>
      </c>
      <c r="Y285">
        <f t="shared" si="42"/>
        <v>7.6613642257404235E-5</v>
      </c>
      <c r="Z285">
        <f t="shared" si="42"/>
        <v>-8.0338385230310625E-6</v>
      </c>
      <c r="AA285">
        <f t="shared" si="42"/>
        <v>6.0204897680793267E-5</v>
      </c>
      <c r="AB285">
        <f t="shared" si="42"/>
        <v>-1.0980506506666645E-6</v>
      </c>
      <c r="AC285">
        <f t="shared" si="42"/>
        <v>1.1604712787620344E-6</v>
      </c>
      <c r="AD285">
        <f t="shared" si="42"/>
        <v>6.970534826407119E-4</v>
      </c>
      <c r="AE285">
        <f t="shared" si="42"/>
        <v>2.3730466937821689E-5</v>
      </c>
      <c r="AF285">
        <f t="shared" si="42"/>
        <v>2.5813913121357641E-4</v>
      </c>
      <c r="AG285">
        <f t="shared" si="42"/>
        <v>5.5280710860528318E-4</v>
      </c>
      <c r="AH285">
        <f t="shared" si="42"/>
        <v>2.6344233428914418E-4</v>
      </c>
      <c r="AI285">
        <f t="shared" si="42"/>
        <v>5.4723850664323162E-4</v>
      </c>
      <c r="AJ285">
        <f t="shared" si="42"/>
        <v>9.2331264609737376E-4</v>
      </c>
      <c r="AK285">
        <f t="shared" si="42"/>
        <v>5.8101323604272564E-4</v>
      </c>
      <c r="AL285">
        <f t="shared" si="42"/>
        <v>2.7987220936641621E-4</v>
      </c>
      <c r="AM285">
        <f t="shared" si="42"/>
        <v>9.8429749508311196E-4</v>
      </c>
      <c r="AN285">
        <f t="shared" si="42"/>
        <v>3.4309888490333172E-4</v>
      </c>
      <c r="AO285">
        <f t="shared" si="42"/>
        <v>4.5500746104726265E-6</v>
      </c>
      <c r="AP285">
        <f t="shared" si="42"/>
        <v>5.2416841482233768E-5</v>
      </c>
      <c r="AQ285">
        <f t="shared" si="42"/>
        <v>1.0269213776365953E-5</v>
      </c>
      <c r="AR285"/>
      <c r="AS285"/>
      <c r="AT285"/>
      <c r="AU285"/>
      <c r="AV285"/>
      <c r="AW285"/>
      <c r="AX285"/>
      <c r="AY285"/>
      <c r="AZ285"/>
      <c r="BA285"/>
      <c r="BB285"/>
      <c r="BC285" s="23"/>
      <c r="BD285"/>
      <c r="BE285"/>
    </row>
    <row r="286" spans="1:57" x14ac:dyDescent="0.3">
      <c r="A286">
        <v>2004</v>
      </c>
      <c r="B286">
        <f t="shared" si="40"/>
        <v>1.8694015956718422E-4</v>
      </c>
      <c r="C286">
        <f t="shared" si="40"/>
        <v>1.5524037146277208E-2</v>
      </c>
      <c r="D286">
        <f t="shared" si="40"/>
        <v>2.4619578081935465E-4</v>
      </c>
      <c r="E286">
        <f t="shared" si="40"/>
        <v>4.4709860701702366E-4</v>
      </c>
      <c r="F286">
        <f t="shared" si="40"/>
        <v>-1.808941231112612E-4</v>
      </c>
      <c r="G286">
        <f t="shared" si="40"/>
        <v>4.2441096865633441E-4</v>
      </c>
      <c r="H286">
        <f t="shared" si="40"/>
        <v>-5.8056459561799269E-6</v>
      </c>
      <c r="I286">
        <f t="shared" si="40"/>
        <v>-5.4409482240879428E-3</v>
      </c>
      <c r="J286">
        <f t="shared" si="40"/>
        <v>-1.3804369870721884E-5</v>
      </c>
      <c r="K286">
        <f t="shared" si="40"/>
        <v>1.6099310293843838E-4</v>
      </c>
      <c r="L286">
        <f t="shared" si="40"/>
        <v>1.0002588172788968E-4</v>
      </c>
      <c r="M286">
        <f t="shared" si="40"/>
        <v>1.5076985632281366E-4</v>
      </c>
      <c r="N286">
        <f t="shared" si="40"/>
        <v>1.836290579457086E-4</v>
      </c>
      <c r="O286">
        <f t="shared" si="40"/>
        <v>5.0165558644031704E-4</v>
      </c>
      <c r="P286">
        <f t="shared" si="40"/>
        <v>2.0877886673503217E-4</v>
      </c>
      <c r="Q286"/>
      <c r="R286"/>
      <c r="S286"/>
      <c r="T286"/>
      <c r="U286"/>
      <c r="V286"/>
      <c r="W286">
        <f t="shared" si="42"/>
        <v>7.7110625628218419E-5</v>
      </c>
      <c r="X286">
        <f t="shared" si="42"/>
        <v>1.3939565776420652E-4</v>
      </c>
      <c r="Y286">
        <f t="shared" si="42"/>
        <v>8.3296074861327651E-5</v>
      </c>
      <c r="Z286">
        <f t="shared" si="42"/>
        <v>2.3247548982746223E-6</v>
      </c>
      <c r="AA286">
        <f t="shared" si="42"/>
        <v>3.8164490962554034E-5</v>
      </c>
      <c r="AB286">
        <f t="shared" si="42"/>
        <v>5.831682003938856E-6</v>
      </c>
      <c r="AC286">
        <f t="shared" si="42"/>
        <v>1.166307994745288E-5</v>
      </c>
      <c r="AD286">
        <f t="shared" si="42"/>
        <v>6.0945619197734441E-5</v>
      </c>
      <c r="AE286">
        <f t="shared" si="42"/>
        <v>1.3190356868417324E-5</v>
      </c>
      <c r="AF286">
        <f t="shared" si="42"/>
        <v>1.211484458775344E-4</v>
      </c>
      <c r="AG286">
        <f t="shared" si="42"/>
        <v>1.2169808277144023E-3</v>
      </c>
      <c r="AH286">
        <f t="shared" si="42"/>
        <v>1.4112335011870686E-4</v>
      </c>
      <c r="AI286">
        <f t="shared" si="42"/>
        <v>5.991275491088262E-4</v>
      </c>
      <c r="AJ286">
        <f t="shared" si="42"/>
        <v>1.3612074317864628E-3</v>
      </c>
      <c r="AK286">
        <f t="shared" si="42"/>
        <v>6.7043675374760681E-4</v>
      </c>
      <c r="AL286">
        <f t="shared" si="42"/>
        <v>3.0610921345480976E-4</v>
      </c>
      <c r="AM286">
        <f t="shared" si="42"/>
        <v>7.2399619851139176E-4</v>
      </c>
      <c r="AN286">
        <f t="shared" si="42"/>
        <v>3.4519800855001243E-4</v>
      </c>
      <c r="AO286">
        <f t="shared" si="42"/>
        <v>4.434597596737908E-6</v>
      </c>
      <c r="AP286">
        <f t="shared" si="42"/>
        <v>2.2675813969214244E-5</v>
      </c>
      <c r="AQ286">
        <f t="shared" si="42"/>
        <v>6.5108907461884562E-6</v>
      </c>
      <c r="AR286"/>
      <c r="AS286"/>
      <c r="AT286"/>
      <c r="AU286"/>
      <c r="AV286"/>
      <c r="AW286"/>
      <c r="AX286"/>
      <c r="AY286"/>
      <c r="AZ286"/>
      <c r="BA286"/>
      <c r="BB286"/>
      <c r="BC286" s="23"/>
      <c r="BD286"/>
      <c r="BE286"/>
    </row>
    <row r="287" spans="1:57" x14ac:dyDescent="0.3">
      <c r="A287">
        <v>2005</v>
      </c>
      <c r="B287">
        <f t="shared" si="40"/>
        <v>1.3392234492141427E-3</v>
      </c>
      <c r="C287">
        <f t="shared" si="40"/>
        <v>-1.1660458477260353E-2</v>
      </c>
      <c r="D287">
        <f t="shared" si="40"/>
        <v>2.0479117207759892E-3</v>
      </c>
      <c r="E287">
        <f t="shared" si="40"/>
        <v>4.2333034492224444E-4</v>
      </c>
      <c r="F287">
        <f t="shared" si="40"/>
        <v>9.4930870337270822E-4</v>
      </c>
      <c r="G287">
        <f t="shared" si="40"/>
        <v>4.4162856143474207E-4</v>
      </c>
      <c r="H287">
        <f t="shared" si="40"/>
        <v>-1.6979687237310362E-5</v>
      </c>
      <c r="I287">
        <f t="shared" si="40"/>
        <v>-3.2985331456775939E-4</v>
      </c>
      <c r="J287">
        <f t="shared" si="40"/>
        <v>-1.7372163799839549E-5</v>
      </c>
      <c r="K287">
        <f t="shared" si="40"/>
        <v>1.7155993703437899E-4</v>
      </c>
      <c r="L287">
        <f t="shared" si="40"/>
        <v>1.0575089904786656E-4</v>
      </c>
      <c r="M287">
        <f t="shared" si="40"/>
        <v>1.604754805377431E-4</v>
      </c>
      <c r="N287">
        <f t="shared" si="40"/>
        <v>2.7263137723568026E-4</v>
      </c>
      <c r="O287">
        <f t="shared" si="40"/>
        <v>5.8057369836134534E-4</v>
      </c>
      <c r="P287">
        <f t="shared" si="40"/>
        <v>2.9599412417760423E-4</v>
      </c>
      <c r="Q287"/>
      <c r="R287"/>
      <c r="S287"/>
      <c r="T287"/>
      <c r="U287"/>
      <c r="V287"/>
      <c r="W287">
        <f t="shared" si="42"/>
        <v>8.736456542070792E-5</v>
      </c>
      <c r="X287">
        <f t="shared" si="42"/>
        <v>6.2500798233358455E-5</v>
      </c>
      <c r="Y287">
        <f t="shared" si="42"/>
        <v>8.4892696719283516E-5</v>
      </c>
      <c r="Z287">
        <f t="shared" si="42"/>
        <v>3.3507513631508354E-7</v>
      </c>
      <c r="AA287">
        <f t="shared" si="42"/>
        <v>1.823554123980052E-5</v>
      </c>
      <c r="AB287">
        <f t="shared" si="42"/>
        <v>2.1001204743403979E-6</v>
      </c>
      <c r="AC287">
        <f t="shared" si="42"/>
        <v>1.0716946427200723E-5</v>
      </c>
      <c r="AD287">
        <f t="shared" si="42"/>
        <v>4.6029919688498396E-4</v>
      </c>
      <c r="AE287">
        <f t="shared" si="42"/>
        <v>2.4798007127053049E-5</v>
      </c>
      <c r="AF287">
        <f t="shared" si="42"/>
        <v>3.5398969705654007E-4</v>
      </c>
      <c r="AG287">
        <f t="shared" si="42"/>
        <v>1.3337196988551915E-3</v>
      </c>
      <c r="AH287">
        <f t="shared" si="42"/>
        <v>3.7307570557700655E-4</v>
      </c>
      <c r="AI287">
        <f t="shared" si="42"/>
        <v>4.0445106203619596E-4</v>
      </c>
      <c r="AJ287">
        <f t="shared" si="42"/>
        <v>5.4729027531626336E-4</v>
      </c>
      <c r="AK287">
        <f t="shared" si="42"/>
        <v>4.1724474681271393E-4</v>
      </c>
      <c r="AL287">
        <f t="shared" si="42"/>
        <v>2.9246264208131228E-4</v>
      </c>
      <c r="AM287">
        <f t="shared" si="42"/>
        <v>9.8426802981662611E-4</v>
      </c>
      <c r="AN287">
        <f t="shared" si="42"/>
        <v>3.5386126299795758E-4</v>
      </c>
      <c r="AO287">
        <f t="shared" si="42"/>
        <v>1.0988458151787384E-5</v>
      </c>
      <c r="AP287">
        <f t="shared" si="42"/>
        <v>2.52314472731704E-6</v>
      </c>
      <c r="AQ287">
        <f t="shared" si="42"/>
        <v>1.0009277637747208E-5</v>
      </c>
      <c r="AR287"/>
      <c r="AS287"/>
      <c r="AT287"/>
      <c r="AU287"/>
      <c r="AV287"/>
      <c r="AW287"/>
      <c r="AX287"/>
      <c r="AY287"/>
      <c r="AZ287"/>
      <c r="BA287"/>
      <c r="BB287"/>
      <c r="BC287" s="23"/>
      <c r="BD287"/>
      <c r="BE287"/>
    </row>
    <row r="288" spans="1:57" x14ac:dyDescent="0.3">
      <c r="A288">
        <v>2006</v>
      </c>
      <c r="B288">
        <f t="shared" si="40"/>
        <v>1.069740685261733E-3</v>
      </c>
      <c r="C288">
        <f t="shared" si="40"/>
        <v>4.5291933469355922E-3</v>
      </c>
      <c r="D288">
        <f t="shared" si="40"/>
        <v>1.1234273443058692E-3</v>
      </c>
      <c r="E288">
        <f t="shared" si="40"/>
        <v>1.9739692991296295E-4</v>
      </c>
      <c r="F288">
        <f t="shared" si="40"/>
        <v>6.0290037849566012E-4</v>
      </c>
      <c r="G288">
        <f t="shared" si="40"/>
        <v>2.1168789434563735E-4</v>
      </c>
      <c r="H288">
        <f t="shared" si="40"/>
        <v>-2.0443560502585274E-5</v>
      </c>
      <c r="I288">
        <f t="shared" si="40"/>
        <v>3.1226220145637003E-3</v>
      </c>
      <c r="J288">
        <f t="shared" si="40"/>
        <v>-1.6332983232892134E-5</v>
      </c>
      <c r="K288">
        <f t="shared" si="40"/>
        <v>9.4262926415741849E-5</v>
      </c>
      <c r="L288">
        <f t="shared" si="40"/>
        <v>1.6374717003089895E-4</v>
      </c>
      <c r="M288">
        <f t="shared" si="40"/>
        <v>1.0608086042652067E-4</v>
      </c>
      <c r="N288">
        <f t="shared" si="40"/>
        <v>2.2856016078625008E-4</v>
      </c>
      <c r="O288">
        <f t="shared" si="40"/>
        <v>8.7915589380853105E-4</v>
      </c>
      <c r="P288">
        <f t="shared" si="40"/>
        <v>2.7321955279423481E-4</v>
      </c>
      <c r="Q288"/>
      <c r="R288"/>
      <c r="S288"/>
      <c r="T288"/>
      <c r="U288"/>
      <c r="V288"/>
      <c r="W288">
        <f t="shared" si="42"/>
        <v>5.8645181724769074E-5</v>
      </c>
      <c r="X288">
        <f t="shared" si="42"/>
        <v>1.8982764202559704E-4</v>
      </c>
      <c r="Y288">
        <f t="shared" si="42"/>
        <v>7.1698390715764786E-5</v>
      </c>
      <c r="Z288">
        <f t="shared" si="42"/>
        <v>-1.1563751348422251E-5</v>
      </c>
      <c r="AA288">
        <f t="shared" si="42"/>
        <v>1.8746854569635402E-5</v>
      </c>
      <c r="AB288">
        <f t="shared" si="42"/>
        <v>-8.538765699209465E-6</v>
      </c>
      <c r="AC288">
        <f t="shared" si="42"/>
        <v>-4.8533624807418444E-6</v>
      </c>
      <c r="AD288">
        <f t="shared" si="42"/>
        <v>2.947995377477014E-4</v>
      </c>
      <c r="AE288">
        <f t="shared" si="42"/>
        <v>4.4961030849965976E-6</v>
      </c>
      <c r="AF288">
        <f t="shared" si="42"/>
        <v>4.5770679355992621E-4</v>
      </c>
      <c r="AG288">
        <f t="shared" si="42"/>
        <v>9.9482648906358876E-4</v>
      </c>
      <c r="AH288">
        <f t="shared" si="42"/>
        <v>4.6854875330280794E-4</v>
      </c>
      <c r="AI288">
        <f t="shared" si="42"/>
        <v>3.6044443837107872E-4</v>
      </c>
      <c r="AJ288">
        <f t="shared" si="42"/>
        <v>1.5485366674541962E-3</v>
      </c>
      <c r="AK288">
        <f t="shared" si="42"/>
        <v>4.6165765214178337E-4</v>
      </c>
      <c r="AL288">
        <f t="shared" si="42"/>
        <v>2.1604459298280211E-4</v>
      </c>
      <c r="AM288">
        <f t="shared" si="42"/>
        <v>6.2587084682113009E-4</v>
      </c>
      <c r="AN288">
        <f t="shared" si="42"/>
        <v>2.5067564907485979E-4</v>
      </c>
      <c r="AO288">
        <f t="shared" si="42"/>
        <v>-2.2751710770997261E-6</v>
      </c>
      <c r="AP288">
        <f t="shared" si="42"/>
        <v>1.8890660725652098E-5</v>
      </c>
      <c r="AQ288">
        <f t="shared" si="42"/>
        <v>2.3199188327392927E-7</v>
      </c>
      <c r="AR288"/>
      <c r="AS288"/>
      <c r="AT288"/>
      <c r="AU288"/>
      <c r="AV288"/>
      <c r="AW288"/>
      <c r="AX288"/>
      <c r="AY288"/>
      <c r="AZ288"/>
      <c r="BA288"/>
      <c r="BB288"/>
      <c r="BC288" s="23"/>
      <c r="BD288"/>
      <c r="BE288"/>
    </row>
    <row r="289" spans="1:57" x14ac:dyDescent="0.3">
      <c r="A289">
        <v>2007</v>
      </c>
      <c r="B289">
        <f t="shared" si="40"/>
        <v>-7.4229379099121089E-4</v>
      </c>
      <c r="C289">
        <f t="shared" si="40"/>
        <v>4.285793624930808E-2</v>
      </c>
      <c r="D289">
        <f t="shared" si="40"/>
        <v>-4.3787880681979565E-4</v>
      </c>
      <c r="E289">
        <f t="shared" si="40"/>
        <v>3.1224294719682608E-4</v>
      </c>
      <c r="F289">
        <f t="shared" si="40"/>
        <v>8.463903687228188E-6</v>
      </c>
      <c r="G289">
        <f t="shared" si="40"/>
        <v>3.0109781068014265E-4</v>
      </c>
      <c r="H289">
        <f t="shared" si="40"/>
        <v>9.2073002153997406E-6</v>
      </c>
      <c r="I289">
        <f t="shared" si="40"/>
        <v>1.7940196656964691E-3</v>
      </c>
      <c r="J289">
        <f t="shared" si="40"/>
        <v>1.1488255435198915E-5</v>
      </c>
      <c r="K289">
        <f t="shared" si="40"/>
        <v>1.5014342877080688E-4</v>
      </c>
      <c r="L289">
        <f t="shared" si="40"/>
        <v>9.5231820469253366E-5</v>
      </c>
      <c r="M289">
        <f t="shared" si="40"/>
        <v>1.4069872870071931E-4</v>
      </c>
      <c r="N289">
        <f t="shared" si="40"/>
        <v>2.3252880948535575E-4</v>
      </c>
      <c r="O289">
        <f t="shared" si="40"/>
        <v>1.0244624282282771E-3</v>
      </c>
      <c r="P289">
        <f t="shared" si="40"/>
        <v>2.8445158053013792E-4</v>
      </c>
      <c r="Q289"/>
      <c r="R289"/>
      <c r="S289"/>
      <c r="T289"/>
      <c r="U289"/>
      <c r="V289"/>
      <c r="W289">
        <f t="shared" si="42"/>
        <v>7.0532688958960352E-5</v>
      </c>
      <c r="X289">
        <f t="shared" si="42"/>
        <v>1.367958956971402E-4</v>
      </c>
      <c r="Y289">
        <f t="shared" si="42"/>
        <v>7.7114947261399658E-5</v>
      </c>
      <c r="Z289">
        <f t="shared" si="42"/>
        <v>1.2641189633318668E-6</v>
      </c>
      <c r="AA289">
        <f t="shared" si="42"/>
        <v>1.477870162035365E-5</v>
      </c>
      <c r="AB289">
        <f t="shared" si="42"/>
        <v>2.5975620619696806E-6</v>
      </c>
      <c r="AC289">
        <f t="shared" si="42"/>
        <v>1.4006215980400827E-5</v>
      </c>
      <c r="AD289">
        <f t="shared" si="42"/>
        <v>2.165528220191423E-4</v>
      </c>
      <c r="AE289">
        <f t="shared" si="42"/>
        <v>2.0082704772813651E-5</v>
      </c>
      <c r="AF289">
        <f t="shared" si="42"/>
        <v>4.9152321344559248E-4</v>
      </c>
      <c r="AG289">
        <f t="shared" si="42"/>
        <v>1.3425130308391104E-3</v>
      </c>
      <c r="AH289">
        <f t="shared" si="42"/>
        <v>5.0975166995063817E-4</v>
      </c>
      <c r="AI289">
        <f t="shared" si="42"/>
        <v>3.812240824525359E-4</v>
      </c>
      <c r="AJ289">
        <f t="shared" si="42"/>
        <v>9.3670370779055934E-4</v>
      </c>
      <c r="AK289">
        <f t="shared" si="42"/>
        <v>4.2916896305857495E-4</v>
      </c>
      <c r="AL289">
        <f t="shared" si="42"/>
        <v>2.3175475516435428E-4</v>
      </c>
      <c r="AM289">
        <f t="shared" si="42"/>
        <v>6.123131146531487E-4</v>
      </c>
      <c r="AN289">
        <f t="shared" si="42"/>
        <v>2.6416671748385453E-4</v>
      </c>
      <c r="AO289">
        <f t="shared" si="42"/>
        <v>4.2381803888612325E-6</v>
      </c>
      <c r="AP289">
        <f t="shared" si="42"/>
        <v>8.0826027962849096E-6</v>
      </c>
      <c r="AQ289">
        <f t="shared" si="42"/>
        <v>4.68795575000162E-6</v>
      </c>
      <c r="AR289"/>
      <c r="AS289"/>
      <c r="AT289"/>
      <c r="AU289"/>
      <c r="AV289"/>
      <c r="AW289"/>
      <c r="AX289"/>
      <c r="AY289"/>
      <c r="AZ289"/>
      <c r="BA289"/>
      <c r="BB289"/>
      <c r="BC289" s="23"/>
      <c r="BD289"/>
      <c r="BE289"/>
    </row>
    <row r="290" spans="1:57" x14ac:dyDescent="0.3">
      <c r="A290">
        <v>2008</v>
      </c>
      <c r="B290">
        <f t="shared" si="40"/>
        <v>-7.9789865860475825E-5</v>
      </c>
      <c r="C290">
        <f t="shared" si="40"/>
        <v>6.5668487116378972E-3</v>
      </c>
      <c r="D290">
        <f t="shared" si="40"/>
        <v>-4.8270026419741825E-5</v>
      </c>
      <c r="E290">
        <f t="shared" si="40"/>
        <v>3.6953556566911001E-4</v>
      </c>
      <c r="F290">
        <f t="shared" si="40"/>
        <v>4.3185475606511906E-4</v>
      </c>
      <c r="G290">
        <f t="shared" si="40"/>
        <v>3.7178804741673022E-4</v>
      </c>
      <c r="H290">
        <f t="shared" si="40"/>
        <v>-3.5483012664482194E-5</v>
      </c>
      <c r="I290">
        <f t="shared" si="40"/>
        <v>-7.3521743731010515E-4</v>
      </c>
      <c r="J290">
        <f t="shared" si="40"/>
        <v>-3.6302204274955755E-5</v>
      </c>
      <c r="K290">
        <f t="shared" si="40"/>
        <v>1.1168862663931946E-4</v>
      </c>
      <c r="L290">
        <f t="shared" si="40"/>
        <v>2.3768394818236834E-5</v>
      </c>
      <c r="M290">
        <f t="shared" si="40"/>
        <v>9.6514481328769503E-5</v>
      </c>
      <c r="N290">
        <f t="shared" si="40"/>
        <v>2.1606723220104373E-4</v>
      </c>
      <c r="O290">
        <f t="shared" si="40"/>
        <v>7.0873157073055959E-4</v>
      </c>
      <c r="P290">
        <f t="shared" si="40"/>
        <v>2.4759528530118397E-4</v>
      </c>
      <c r="Q290"/>
      <c r="R290"/>
      <c r="S290"/>
      <c r="T290"/>
      <c r="U290"/>
      <c r="V290"/>
      <c r="W290">
        <f t="shared" si="42"/>
        <v>5.6596516210960254E-5</v>
      </c>
      <c r="X290">
        <f t="shared" si="42"/>
        <v>3.0894255973732105E-5</v>
      </c>
      <c r="Y290">
        <f t="shared" si="42"/>
        <v>5.4051983433336517E-5</v>
      </c>
      <c r="Z290">
        <f t="shared" si="42"/>
        <v>-1.5506912641774043E-5</v>
      </c>
      <c r="AA290">
        <f t="shared" si="42"/>
        <v>-1.5426251558885682E-5</v>
      </c>
      <c r="AB290">
        <f t="shared" si="42"/>
        <v>-1.5499120023918025E-5</v>
      </c>
      <c r="AC290">
        <f t="shared" si="42"/>
        <v>1.8012107679637609E-5</v>
      </c>
      <c r="AD290">
        <f t="shared" si="42"/>
        <v>4.7855756710226435E-4</v>
      </c>
      <c r="AE290">
        <f t="shared" si="42"/>
        <v>3.1328296062322792E-5</v>
      </c>
      <c r="AF290">
        <f t="shared" si="42"/>
        <v>6.2829445543679521E-4</v>
      </c>
      <c r="AG290">
        <f t="shared" si="42"/>
        <v>5.6285222582927767E-4</v>
      </c>
      <c r="AH290">
        <f t="shared" si="42"/>
        <v>6.2686271123508532E-4</v>
      </c>
      <c r="AI290">
        <f t="shared" si="42"/>
        <v>3.4960488934095667E-4</v>
      </c>
      <c r="AJ290">
        <f t="shared" si="42"/>
        <v>1.0107547782302556E-3</v>
      </c>
      <c r="AK290">
        <f t="shared" si="42"/>
        <v>4.0667051779518074E-4</v>
      </c>
      <c r="AL290">
        <f t="shared" si="42"/>
        <v>2.1205059336180127E-4</v>
      </c>
      <c r="AM290">
        <f t="shared" si="42"/>
        <v>5.5926478258593189E-4</v>
      </c>
      <c r="AN290">
        <f t="shared" si="42"/>
        <v>2.4177025645145066E-4</v>
      </c>
      <c r="AO290">
        <f t="shared" si="42"/>
        <v>-8.2339229823422993E-6</v>
      </c>
      <c r="AP290">
        <f t="shared" si="42"/>
        <v>-3.0251666108767427E-5</v>
      </c>
      <c r="AQ290">
        <f t="shared" si="42"/>
        <v>-1.0723254209319192E-5</v>
      </c>
      <c r="AR290"/>
      <c r="AS290"/>
      <c r="AT290"/>
      <c r="AU290"/>
      <c r="AV290"/>
      <c r="AW290"/>
      <c r="AX290"/>
      <c r="AY290"/>
      <c r="AZ290"/>
      <c r="BA290"/>
      <c r="BB290"/>
      <c r="BC290" s="23"/>
      <c r="BD290"/>
      <c r="BE290"/>
    </row>
    <row r="291" spans="1:57" x14ac:dyDescent="0.3">
      <c r="A291">
        <v>2009</v>
      </c>
      <c r="B291">
        <f t="shared" ref="B291:P295" si="43">(B233-B165)/B165</f>
        <v>-3.3755105444411329E-4</v>
      </c>
      <c r="C291">
        <f t="shared" si="43"/>
        <v>2.1308890111180804E-3</v>
      </c>
      <c r="D291">
        <f t="shared" si="43"/>
        <v>-4.3156087523625738E-4</v>
      </c>
      <c r="E291">
        <f t="shared" si="43"/>
        <v>2.8582217255834953E-4</v>
      </c>
      <c r="F291">
        <f t="shared" si="43"/>
        <v>7.3636611556097368E-4</v>
      </c>
      <c r="G291">
        <f t="shared" si="43"/>
        <v>3.0195895993931425E-4</v>
      </c>
      <c r="H291">
        <f t="shared" si="43"/>
        <v>3.0136364120894651E-5</v>
      </c>
      <c r="I291">
        <f t="shared" si="43"/>
        <v>8.3320030445354579E-5</v>
      </c>
      <c r="J291">
        <f t="shared" si="43"/>
        <v>3.0201101268518796E-5</v>
      </c>
      <c r="K291">
        <f t="shared" si="43"/>
        <v>1.2659151646440641E-4</v>
      </c>
      <c r="L291">
        <f t="shared" si="43"/>
        <v>1.1281649880088689E-4</v>
      </c>
      <c r="M291">
        <f t="shared" si="43"/>
        <v>1.2420635470206711E-4</v>
      </c>
      <c r="N291">
        <f t="shared" si="43"/>
        <v>1.2959762120198423E-4</v>
      </c>
      <c r="O291">
        <f t="shared" si="43"/>
        <v>3.3860184275322897E-4</v>
      </c>
      <c r="P291">
        <f t="shared" si="43"/>
        <v>1.4161160644980342E-4</v>
      </c>
      <c r="Q291"/>
      <c r="R291"/>
      <c r="S291"/>
      <c r="T291"/>
      <c r="U291"/>
      <c r="V291"/>
      <c r="W291">
        <f t="shared" si="42"/>
        <v>5.3625665757722215E-5</v>
      </c>
      <c r="X291">
        <f t="shared" si="42"/>
        <v>1.5152539415006947E-4</v>
      </c>
      <c r="Y291">
        <f t="shared" si="42"/>
        <v>6.3337820682207705E-5</v>
      </c>
      <c r="Z291">
        <f t="shared" si="42"/>
        <v>-7.7997422685405193E-6</v>
      </c>
      <c r="AA291">
        <f t="shared" si="42"/>
        <v>1.3079828621131593E-5</v>
      </c>
      <c r="AB291">
        <f t="shared" si="42"/>
        <v>-5.7516916597552695E-6</v>
      </c>
      <c r="AC291">
        <f t="shared" si="42"/>
        <v>1.8053051805709209E-5</v>
      </c>
      <c r="AD291">
        <f t="shared" si="42"/>
        <v>6.6072593583358123E-4</v>
      </c>
      <c r="AE291">
        <f t="shared" si="42"/>
        <v>3.7436862455175004E-5</v>
      </c>
      <c r="AF291">
        <f t="shared" si="42"/>
        <v>4.5680205038309464E-4</v>
      </c>
      <c r="AG291">
        <f t="shared" si="42"/>
        <v>6.4869342736268679E-4</v>
      </c>
      <c r="AH291">
        <f t="shared" si="42"/>
        <v>4.6114021340736173E-4</v>
      </c>
      <c r="AI291">
        <f t="shared" si="42"/>
        <v>3.8852703025730496E-4</v>
      </c>
      <c r="AJ291">
        <f t="shared" si="42"/>
        <v>1.2430970872471016E-3</v>
      </c>
      <c r="AK291">
        <f t="shared" si="42"/>
        <v>4.606385796757966E-4</v>
      </c>
      <c r="AL291">
        <f t="shared" si="42"/>
        <v>2.6270356491798602E-4</v>
      </c>
      <c r="AM291">
        <f t="shared" si="42"/>
        <v>6.6516443078760144E-4</v>
      </c>
      <c r="AN291">
        <f t="shared" si="42"/>
        <v>2.9668015549866674E-4</v>
      </c>
      <c r="AO291">
        <f t="shared" si="42"/>
        <v>1.4078773790024131E-6</v>
      </c>
      <c r="AP291">
        <f t="shared" si="42"/>
        <v>-1.0026261395874341E-6</v>
      </c>
      <c r="AQ291">
        <f t="shared" si="42"/>
        <v>1.1299067312645599E-6</v>
      </c>
      <c r="AR291"/>
      <c r="AS291"/>
      <c r="AT291"/>
      <c r="AU291"/>
      <c r="AV291"/>
      <c r="AW291"/>
      <c r="AX291"/>
      <c r="AY291"/>
      <c r="AZ291"/>
      <c r="BA291"/>
      <c r="BB291"/>
      <c r="BC291" s="23"/>
      <c r="BD291"/>
      <c r="BE291"/>
    </row>
    <row r="292" spans="1:57" x14ac:dyDescent="0.3">
      <c r="A292">
        <v>2010</v>
      </c>
      <c r="B292">
        <f t="shared" si="43"/>
        <v>-1.1248237716418319E-3</v>
      </c>
      <c r="C292">
        <f t="shared" si="43"/>
        <v>-3.3882902757228031E-3</v>
      </c>
      <c r="D292">
        <f t="shared" si="43"/>
        <v>-1.2344769739192816E-3</v>
      </c>
      <c r="E292">
        <f t="shared" si="43"/>
        <v>2.7638885822424067E-4</v>
      </c>
      <c r="F292">
        <f t="shared" si="43"/>
        <v>4.9839570991450522E-4</v>
      </c>
      <c r="G292">
        <f t="shared" si="43"/>
        <v>2.8377287008653988E-4</v>
      </c>
      <c r="H292">
        <f t="shared" si="43"/>
        <v>8.5674234769770427E-6</v>
      </c>
      <c r="I292">
        <f t="shared" si="43"/>
        <v>-3.6672261991894488E-3</v>
      </c>
      <c r="J292">
        <f t="shared" si="43"/>
        <v>4.633421914808399E-6</v>
      </c>
      <c r="K292">
        <f t="shared" si="43"/>
        <v>9.0210011996910903E-5</v>
      </c>
      <c r="L292">
        <f t="shared" si="43"/>
        <v>1.0845176554757035E-4</v>
      </c>
      <c r="M292">
        <f t="shared" si="43"/>
        <v>9.3381214628983049E-5</v>
      </c>
      <c r="N292">
        <f t="shared" si="43"/>
        <v>1.6164060522810814E-4</v>
      </c>
      <c r="O292">
        <f t="shared" si="43"/>
        <v>7.6974063094188087E-4</v>
      </c>
      <c r="P292">
        <f t="shared" si="43"/>
        <v>1.936240761466267E-4</v>
      </c>
      <c r="Q292"/>
      <c r="R292"/>
      <c r="S292"/>
      <c r="T292"/>
      <c r="U292"/>
      <c r="V292"/>
      <c r="W292">
        <f t="shared" si="42"/>
        <v>5.5064556516283896E-5</v>
      </c>
      <c r="X292">
        <f t="shared" si="42"/>
        <v>1.2973949291201304E-4</v>
      </c>
      <c r="Y292">
        <f t="shared" si="42"/>
        <v>6.2386348541879205E-5</v>
      </c>
      <c r="Z292">
        <f t="shared" si="42"/>
        <v>-6.3908636238179729E-6</v>
      </c>
      <c r="AA292">
        <f t="shared" si="42"/>
        <v>-1.4831289069105809E-5</v>
      </c>
      <c r="AB292">
        <f t="shared" si="42"/>
        <v>-7.2185036665819726E-6</v>
      </c>
      <c r="AC292">
        <f t="shared" si="42"/>
        <v>9.4663708723524757E-6</v>
      </c>
      <c r="AD292">
        <f t="shared" si="42"/>
        <v>2.8980588556367661E-4</v>
      </c>
      <c r="AE292">
        <f t="shared" si="42"/>
        <v>1.7790358340766186E-5</v>
      </c>
      <c r="AF292">
        <f t="shared" si="42"/>
        <v>2.7523965166136797E-4</v>
      </c>
      <c r="AG292">
        <f t="shared" si="42"/>
        <v>1.4196722606477215E-15</v>
      </c>
      <c r="AH292">
        <f t="shared" si="42"/>
        <v>2.6875852628923714E-4</v>
      </c>
      <c r="AI292">
        <f t="shared" si="42"/>
        <v>3.0886470241332439E-4</v>
      </c>
      <c r="AJ292">
        <f t="shared" si="42"/>
        <v>1.2511183252111562E-3</v>
      </c>
      <c r="AK292">
        <f t="shared" si="42"/>
        <v>3.8695154729130572E-4</v>
      </c>
      <c r="AL292">
        <f t="shared" si="42"/>
        <v>2.208689577973257E-4</v>
      </c>
      <c r="AM292">
        <f t="shared" si="42"/>
        <v>8.8108591789133627E-4</v>
      </c>
      <c r="AN292">
        <f t="shared" si="42"/>
        <v>2.7533418407234164E-4</v>
      </c>
      <c r="AO292">
        <f t="shared" si="42"/>
        <v>2.5931974711558429E-6</v>
      </c>
      <c r="AP292">
        <f t="shared" si="42"/>
        <v>-2.8499021863511668E-5</v>
      </c>
      <c r="AQ292">
        <f t="shared" si="42"/>
        <v>-1.0096941222258075E-6</v>
      </c>
      <c r="AR292"/>
      <c r="AS292"/>
      <c r="AT292"/>
      <c r="AU292"/>
      <c r="AV292"/>
      <c r="AW292"/>
      <c r="AX292"/>
      <c r="AY292"/>
      <c r="AZ292"/>
      <c r="BA292"/>
      <c r="BB292"/>
      <c r="BC292" s="23"/>
      <c r="BD292"/>
      <c r="BE292"/>
    </row>
    <row r="293" spans="1:57" x14ac:dyDescent="0.3">
      <c r="A293">
        <v>2011</v>
      </c>
      <c r="B293">
        <f t="shared" si="43"/>
        <v>4.3562327180739761E-4</v>
      </c>
      <c r="C293">
        <f t="shared" si="43"/>
        <v>-4.3111106768731859E-3</v>
      </c>
      <c r="D293">
        <f t="shared" si="43"/>
        <v>3.3809125174753368E-4</v>
      </c>
      <c r="E293">
        <f t="shared" si="43"/>
        <v>2.136176107831975E-4</v>
      </c>
      <c r="F293">
        <f t="shared" si="43"/>
        <v>-3.3825191963762176E-5</v>
      </c>
      <c r="G293">
        <f t="shared" si="43"/>
        <v>2.0576596847686715E-4</v>
      </c>
      <c r="H293">
        <f t="shared" si="43"/>
        <v>-1.3344776933082954E-5</v>
      </c>
      <c r="I293">
        <f t="shared" si="43"/>
        <v>-4.0444342015722376E-3</v>
      </c>
      <c r="J293">
        <f t="shared" si="43"/>
        <v>-1.7435076735070461E-5</v>
      </c>
      <c r="K293">
        <f t="shared" si="43"/>
        <v>1.3360055521673288E-4</v>
      </c>
      <c r="L293">
        <f t="shared" si="43"/>
        <v>1.244862745708702E-4</v>
      </c>
      <c r="M293">
        <f t="shared" si="43"/>
        <v>1.3201701642923626E-4</v>
      </c>
      <c r="N293">
        <f t="shared" si="43"/>
        <v>1.425095717727845E-4</v>
      </c>
      <c r="O293">
        <f t="shared" si="43"/>
        <v>7.3936550649911172E-4</v>
      </c>
      <c r="P293">
        <f t="shared" si="43"/>
        <v>1.7361970882716766E-4</v>
      </c>
      <c r="Q293"/>
      <c r="R293"/>
      <c r="S293"/>
      <c r="T293"/>
      <c r="U293"/>
      <c r="V293"/>
      <c r="W293">
        <f t="shared" si="42"/>
        <v>4.6535008213621665E-5</v>
      </c>
      <c r="X293">
        <f t="shared" si="42"/>
        <v>4.3744420534587019E-5</v>
      </c>
      <c r="Y293">
        <f t="shared" si="42"/>
        <v>4.6264749523080777E-5</v>
      </c>
      <c r="Z293">
        <f t="shared" si="42"/>
        <v>-1.119868305112531E-5</v>
      </c>
      <c r="AA293">
        <f t="shared" si="42"/>
        <v>1.1741125380532108E-5</v>
      </c>
      <c r="AB293">
        <f t="shared" si="42"/>
        <v>-9.0014437250116755E-6</v>
      </c>
      <c r="AC293">
        <f t="shared" si="42"/>
        <v>2.6643524479249187E-5</v>
      </c>
      <c r="AD293">
        <f t="shared" si="42"/>
        <v>2.6327398618707001E-4</v>
      </c>
      <c r="AE293">
        <f t="shared" si="42"/>
        <v>3.3535237170066447E-5</v>
      </c>
      <c r="AF293">
        <f t="shared" si="42"/>
        <v>5.0923205496889183E-4</v>
      </c>
      <c r="AG293">
        <f t="shared" si="42"/>
        <v>-6.0694725179772399E-4</v>
      </c>
      <c r="AH293">
        <f t="shared" si="42"/>
        <v>4.8244385820086149E-4</v>
      </c>
      <c r="AI293">
        <f t="shared" si="42"/>
        <v>3.3806290963581917E-4</v>
      </c>
      <c r="AJ293">
        <f t="shared" si="42"/>
        <v>7.0912716094358814E-4</v>
      </c>
      <c r="AK293">
        <f t="shared" si="42"/>
        <v>3.6873526579967071E-4</v>
      </c>
      <c r="AL293">
        <f t="shared" si="42"/>
        <v>2.3578043896741707E-4</v>
      </c>
      <c r="AM293">
        <f t="shared" si="42"/>
        <v>5.3109204613613933E-4</v>
      </c>
      <c r="AN293">
        <f t="shared" si="42"/>
        <v>2.59974205517307E-4</v>
      </c>
      <c r="AO293">
        <f t="shared" si="42"/>
        <v>-2.2493375083784195E-6</v>
      </c>
      <c r="AP293">
        <f t="shared" si="42"/>
        <v>5.1840385586133215E-6</v>
      </c>
      <c r="AQ293">
        <f t="shared" si="42"/>
        <v>-1.4083530983943299E-6</v>
      </c>
      <c r="AR293"/>
      <c r="AS293"/>
      <c r="AT293"/>
      <c r="AU293"/>
      <c r="AV293"/>
      <c r="AW293"/>
      <c r="AX293"/>
      <c r="AY293"/>
      <c r="AZ293"/>
      <c r="BA293"/>
      <c r="BB293"/>
      <c r="BC293" s="23"/>
      <c r="BD293"/>
      <c r="BE293"/>
    </row>
    <row r="294" spans="1:57" x14ac:dyDescent="0.3">
      <c r="A294">
        <v>2012</v>
      </c>
      <c r="B294">
        <f t="shared" si="43"/>
        <v>7.4272328331153009E-4</v>
      </c>
      <c r="C294">
        <f t="shared" si="43"/>
        <v>-1.2887851639687767E-2</v>
      </c>
      <c r="D294">
        <f t="shared" si="43"/>
        <v>5.3303086083471285E-4</v>
      </c>
      <c r="E294">
        <f t="shared" si="43"/>
        <v>1.7428380519797677E-4</v>
      </c>
      <c r="F294">
        <f t="shared" si="43"/>
        <v>2.4116350242324493E-4</v>
      </c>
      <c r="G294">
        <f t="shared" si="43"/>
        <v>1.7657814162494681E-4</v>
      </c>
      <c r="H294">
        <f t="shared" si="43"/>
        <v>2.5382592025780103E-5</v>
      </c>
      <c r="I294">
        <f t="shared" si="43"/>
        <v>8.352286208291664E-5</v>
      </c>
      <c r="J294">
        <f t="shared" si="43"/>
        <v>2.5445210961138926E-5</v>
      </c>
      <c r="K294">
        <f t="shared" si="43"/>
        <v>8.5199238147435795E-5</v>
      </c>
      <c r="L294">
        <f t="shared" si="43"/>
        <v>5.6384620740041922E-5</v>
      </c>
      <c r="M294">
        <f t="shared" si="43"/>
        <v>8.0151353929189381E-5</v>
      </c>
      <c r="N294">
        <f t="shared" si="43"/>
        <v>1.2754130319401658E-4</v>
      </c>
      <c r="O294">
        <f t="shared" si="43"/>
        <v>9.4639323830228634E-4</v>
      </c>
      <c r="P294">
        <f t="shared" si="43"/>
        <v>1.7037316257363652E-4</v>
      </c>
      <c r="Q294"/>
      <c r="R294"/>
      <c r="S294"/>
      <c r="T294"/>
      <c r="U294"/>
      <c r="V294"/>
      <c r="W294">
        <f t="shared" si="42"/>
        <v>4.7583802334168357E-5</v>
      </c>
      <c r="X294">
        <f t="shared" si="42"/>
        <v>6.1270511812831674E-5</v>
      </c>
      <c r="Y294">
        <f t="shared" si="42"/>
        <v>4.8923164516652504E-5</v>
      </c>
      <c r="Z294">
        <f t="shared" ref="Z294:AQ294" si="44">(Z236-Z168)/Z168</f>
        <v>-3.506295180845336E-6</v>
      </c>
      <c r="AA294">
        <f t="shared" si="44"/>
        <v>8.5217656792873788E-6</v>
      </c>
      <c r="AB294">
        <f t="shared" si="44"/>
        <v>-2.3309406559894689E-6</v>
      </c>
      <c r="AC294">
        <f t="shared" si="44"/>
        <v>9.3091861164085161E-6</v>
      </c>
      <c r="AD294">
        <f t="shared" si="44"/>
        <v>3.7995494966814352E-5</v>
      </c>
      <c r="AE294">
        <f t="shared" si="44"/>
        <v>1.0164145679506984E-5</v>
      </c>
      <c r="AF294">
        <f t="shared" si="44"/>
        <v>4.8203815541843914E-4</v>
      </c>
      <c r="AG294">
        <f t="shared" si="44"/>
        <v>9.5033335912307189E-5</v>
      </c>
      <c r="AH294">
        <f t="shared" si="44"/>
        <v>4.725737754142898E-4</v>
      </c>
      <c r="AI294">
        <f t="shared" si="44"/>
        <v>2.8784797534113916E-4</v>
      </c>
      <c r="AJ294">
        <f t="shared" si="44"/>
        <v>9.5838086660519624E-4</v>
      </c>
      <c r="AK294">
        <f t="shared" si="44"/>
        <v>3.423724848648544E-4</v>
      </c>
      <c r="AL294">
        <f t="shared" si="44"/>
        <v>2.2071351416935652E-4</v>
      </c>
      <c r="AM294">
        <f t="shared" si="44"/>
        <v>5.5295658428841622E-4</v>
      </c>
      <c r="AN294">
        <f t="shared" si="44"/>
        <v>2.4718955545450523E-4</v>
      </c>
      <c r="AO294">
        <f t="shared" si="44"/>
        <v>-3.6237089285490615E-6</v>
      </c>
      <c r="AP294">
        <f t="shared" si="44"/>
        <v>-1.0968344769346074E-5</v>
      </c>
      <c r="AQ294">
        <f t="shared" si="44"/>
        <v>-4.4779655230834121E-6</v>
      </c>
      <c r="AR294"/>
      <c r="AS294"/>
      <c r="AT294"/>
      <c r="AU294"/>
      <c r="AV294"/>
      <c r="AW294"/>
      <c r="AX294"/>
      <c r="AY294"/>
      <c r="AZ294"/>
      <c r="BA294"/>
      <c r="BB294"/>
      <c r="BC294" s="23"/>
      <c r="BD294"/>
      <c r="BE294"/>
    </row>
    <row r="295" spans="1:57" x14ac:dyDescent="0.3">
      <c r="A295">
        <v>2013</v>
      </c>
      <c r="B295">
        <f t="shared" si="43"/>
        <v>1.5123100872455208E-4</v>
      </c>
      <c r="C295">
        <f t="shared" si="43"/>
        <v>-1.318981140635988E-3</v>
      </c>
      <c r="D295">
        <f t="shared" si="43"/>
        <v>1.6215000762502527E-4</v>
      </c>
      <c r="E295">
        <f t="shared" si="43"/>
        <v>1.495196412127448E-4</v>
      </c>
      <c r="F295">
        <f t="shared" si="43"/>
        <v>5.4851034159770888E-4</v>
      </c>
      <c r="G295">
        <f t="shared" si="43"/>
        <v>1.6289836382888645E-4</v>
      </c>
      <c r="H295">
        <f t="shared" si="43"/>
        <v>3.6928098862697407E-6</v>
      </c>
      <c r="I295">
        <f t="shared" si="43"/>
        <v>-1.5982396001229077E-3</v>
      </c>
      <c r="J295">
        <f t="shared" si="43"/>
        <v>1.8871255730235268E-6</v>
      </c>
      <c r="K295">
        <f t="shared" si="43"/>
        <v>9.6502452444109107E-5</v>
      </c>
      <c r="L295">
        <f t="shared" si="43"/>
        <v>1.6741243771903515E-4</v>
      </c>
      <c r="M295">
        <f t="shared" si="43"/>
        <v>1.0890312944732848E-4</v>
      </c>
      <c r="N295">
        <f t="shared" si="43"/>
        <v>1.520330737984709E-4</v>
      </c>
      <c r="O295">
        <f t="shared" si="43"/>
        <v>8.4216749193917668E-4</v>
      </c>
      <c r="P295">
        <f t="shared" si="43"/>
        <v>1.859735043129697E-4</v>
      </c>
      <c r="Q295"/>
      <c r="R295"/>
      <c r="S295"/>
      <c r="T295"/>
      <c r="U295"/>
      <c r="V295"/>
      <c r="W295">
        <f t="shared" ref="W295:AQ295" si="45">(W237-W169)/W169</f>
        <v>5.3761612833748872E-5</v>
      </c>
      <c r="X295">
        <f t="shared" si="45"/>
        <v>1.5707341519361317E-4</v>
      </c>
      <c r="Y295">
        <f t="shared" si="45"/>
        <v>6.3662074118191891E-5</v>
      </c>
      <c r="Z295">
        <f t="shared" si="45"/>
        <v>-1.1040034414423574E-5</v>
      </c>
      <c r="AA295">
        <f t="shared" si="45"/>
        <v>3.2576327080148897E-7</v>
      </c>
      <c r="AB295">
        <f t="shared" si="45"/>
        <v>-9.978773999221103E-6</v>
      </c>
      <c r="AC295">
        <f t="shared" si="45"/>
        <v>1.8867044067815122E-5</v>
      </c>
      <c r="AD295">
        <f t="shared" si="45"/>
        <v>4.3699812019130598E-4</v>
      </c>
      <c r="AE295">
        <f t="shared" si="45"/>
        <v>3.0265130528519067E-5</v>
      </c>
      <c r="AF295">
        <f t="shared" si="45"/>
        <v>5.2814659508738015E-4</v>
      </c>
      <c r="AG295">
        <f t="shared" si="45"/>
        <v>6.596914125002796E-4</v>
      </c>
      <c r="AH295">
        <f t="shared" si="45"/>
        <v>5.3144365442460201E-4</v>
      </c>
      <c r="AI295">
        <f t="shared" si="45"/>
        <v>3.116002979642539E-4</v>
      </c>
      <c r="AJ295">
        <f t="shared" si="45"/>
        <v>1.1189933348210437E-3</v>
      </c>
      <c r="AK295">
        <f t="shared" si="45"/>
        <v>3.7486581615971354E-4</v>
      </c>
      <c r="AL295">
        <f t="shared" si="45"/>
        <v>2.1530283802901021E-4</v>
      </c>
      <c r="AM295">
        <f t="shared" si="45"/>
        <v>3.6412391320317963E-4</v>
      </c>
      <c r="AN295">
        <f t="shared" si="45"/>
        <v>2.2693156143868128E-4</v>
      </c>
      <c r="AO295">
        <f t="shared" si="45"/>
        <v>-6.7770280306442743E-7</v>
      </c>
      <c r="AP295">
        <f t="shared" si="45"/>
        <v>-6.4170200802983705E-6</v>
      </c>
      <c r="AQ295">
        <f t="shared" si="45"/>
        <v>-1.3099678992593861E-6</v>
      </c>
      <c r="AR295"/>
      <c r="AS295"/>
      <c r="AT295"/>
      <c r="AU295"/>
      <c r="AV295"/>
      <c r="AW295"/>
      <c r="AX295"/>
      <c r="AY295"/>
      <c r="AZ295"/>
      <c r="BA295"/>
      <c r="BB295"/>
      <c r="BC295" s="23"/>
      <c r="BD295"/>
      <c r="BE295"/>
    </row>
  </sheetData>
  <sheetProtection password="F8DD" sheet="1" objects="1" scenarios="1"/>
  <customSheetViews>
    <customSheetView guid="{19166E14-FA2C-4A8E-94B4-58FB50E3C2AB}">
      <selection activeCell="D8" sqref="D8"/>
      <pageMargins left="0.7" right="0.7" top="0.78740157499999996" bottom="0.78740157499999996" header="0.3" footer="0.3"/>
    </customSheetView>
    <customSheetView guid="{A04E2617-7092-4ACA-9C80-BFC49C4921F8}">
      <selection activeCell="D8" sqref="D8"/>
      <pageMargins left="0.7" right="0.7" top="0.78740157499999996" bottom="0.78740157499999996" header="0.3" footer="0.3"/>
    </customSheetView>
  </customSheetViews>
  <conditionalFormatting sqref="AZ243:BC295 B243:AQ295">
    <cfRule type="cellIs" dxfId="2" priority="1" operator="lessThan">
      <formula>-0.001</formula>
    </cfRule>
    <cfRule type="cellIs" dxfId="1" priority="2" operator="greaterThan">
      <formula>0.001</formula>
    </cfRule>
  </conditionalFormatting>
  <hyperlinks>
    <hyperlink ref="H22" r:id="rId1" xr:uid="{00000000-0004-0000-0700-000000000000}"/>
    <hyperlink ref="A18" r:id="rId2" xr:uid="{B0F9C101-DCAE-47DC-A92A-39D4FBD8B850}"/>
    <hyperlink ref="A84" r:id="rId3" xr:uid="{2ED2993D-A109-4FE7-BF9F-8079FEBD0286}"/>
    <hyperlink ref="A64" r:id="rId4" xr:uid="{66978D10-2CE9-4A19-8B0A-BADC12C84D6B}"/>
    <hyperlink ref="A100" r:id="rId5" xr:uid="{69A7AEBB-DA84-4E16-AEF5-21121B0E12A6}"/>
  </hyperlinks>
  <pageMargins left="0.7" right="0.7" top="0.78740157499999996" bottom="0.78740157499999996" header="0.3" footer="0.3"/>
  <pageSetup paperSize="9" orientation="portrait" r:id="rId6"/>
  <ignoredErrors>
    <ignoredError sqref="Q30 Z79" formula="1"/>
  </ignoredErrors>
  <drawing r:id="rId7"/>
  <legacy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U306"/>
  <sheetViews>
    <sheetView topLeftCell="A161" workbookViewId="0">
      <selection activeCell="J254" sqref="J254"/>
    </sheetView>
  </sheetViews>
  <sheetFormatPr defaultColWidth="12" defaultRowHeight="15.6" x14ac:dyDescent="0.3"/>
  <cols>
    <col min="1" max="1" width="15.33203125" style="25" customWidth="1"/>
    <col min="2" max="8" width="15.33203125" style="26" customWidth="1"/>
    <col min="9" max="9" width="15.33203125" style="27" customWidth="1"/>
    <col min="10" max="10" width="15.33203125" style="28" customWidth="1"/>
    <col min="11" max="16384" width="12" style="25"/>
  </cols>
  <sheetData>
    <row r="1" spans="1:21" x14ac:dyDescent="0.3">
      <c r="A1" s="25" t="s">
        <v>9</v>
      </c>
    </row>
    <row r="2" spans="1:21" x14ac:dyDescent="0.3">
      <c r="A2" s="2" t="s">
        <v>10</v>
      </c>
    </row>
    <row r="3" spans="1:21" s="36" customFormat="1" ht="18" x14ac:dyDescent="0.4">
      <c r="A3" s="29"/>
      <c r="B3" s="30" t="s">
        <v>557</v>
      </c>
      <c r="C3" s="31"/>
      <c r="D3" s="31"/>
      <c r="E3" s="31"/>
      <c r="F3" s="32"/>
      <c r="G3" s="32"/>
      <c r="H3" s="31"/>
      <c r="I3" s="33"/>
      <c r="J3" s="34"/>
      <c r="K3" s="35"/>
      <c r="L3" s="35"/>
      <c r="M3" s="35"/>
      <c r="N3" s="35"/>
      <c r="O3" s="35"/>
    </row>
    <row r="4" spans="1:21" s="36" customFormat="1" ht="18" x14ac:dyDescent="0.4">
      <c r="B4" s="37" t="s">
        <v>558</v>
      </c>
      <c r="C4" s="37"/>
      <c r="D4" s="37"/>
      <c r="E4" s="37"/>
      <c r="F4" s="38"/>
      <c r="G4" s="38"/>
      <c r="H4" s="37"/>
      <c r="I4" s="39"/>
      <c r="J4" s="40"/>
      <c r="K4" s="41"/>
      <c r="L4" s="41"/>
      <c r="M4" s="41"/>
      <c r="N4" s="41"/>
      <c r="O4" s="41"/>
    </row>
    <row r="5" spans="1:21" s="36" customFormat="1" x14ac:dyDescent="0.3">
      <c r="B5" s="42" t="s">
        <v>559</v>
      </c>
      <c r="C5" s="42"/>
      <c r="D5" s="43"/>
      <c r="E5" s="43"/>
      <c r="F5" s="44"/>
      <c r="G5" s="44"/>
      <c r="H5" s="43"/>
      <c r="I5" s="45"/>
      <c r="J5" s="46"/>
      <c r="K5" s="47"/>
      <c r="L5" s="47"/>
      <c r="M5" s="47"/>
      <c r="N5" s="47"/>
      <c r="O5" s="47"/>
    </row>
    <row r="6" spans="1:21" x14ac:dyDescent="0.3">
      <c r="A6" s="48"/>
      <c r="B6" s="49" t="s">
        <v>560</v>
      </c>
      <c r="C6" s="49"/>
      <c r="D6" s="50"/>
      <c r="E6" s="50"/>
      <c r="F6" s="32"/>
      <c r="G6" s="32"/>
      <c r="H6" s="49"/>
      <c r="I6" s="33"/>
      <c r="J6" s="51"/>
      <c r="K6" s="52"/>
      <c r="L6" s="52"/>
      <c r="M6" s="52"/>
      <c r="N6" s="52"/>
      <c r="O6" s="52"/>
    </row>
    <row r="7" spans="1:21" x14ac:dyDescent="0.3">
      <c r="A7" s="48"/>
      <c r="B7" s="49" t="s">
        <v>561</v>
      </c>
      <c r="C7" s="49"/>
      <c r="D7" s="50"/>
      <c r="E7" s="50"/>
      <c r="F7" s="32"/>
      <c r="G7" s="32"/>
      <c r="H7" s="49"/>
      <c r="I7" s="33"/>
      <c r="J7" s="51"/>
      <c r="K7" s="52"/>
      <c r="L7" s="52"/>
      <c r="M7" s="52"/>
      <c r="N7" s="52"/>
      <c r="O7" s="52"/>
    </row>
    <row r="8" spans="1:21" x14ac:dyDescent="0.3">
      <c r="A8" s="48"/>
      <c r="B8" s="53" t="s">
        <v>562</v>
      </c>
      <c r="C8" s="54"/>
      <c r="D8" s="50"/>
      <c r="E8" s="50"/>
      <c r="F8" s="32"/>
      <c r="G8" s="32"/>
      <c r="H8" s="49"/>
      <c r="I8" s="33"/>
      <c r="J8" s="51"/>
      <c r="K8" s="52"/>
      <c r="L8" s="52"/>
      <c r="M8" s="52"/>
      <c r="N8" s="52"/>
      <c r="O8" s="52"/>
    </row>
    <row r="9" spans="1:21" x14ac:dyDescent="0.3">
      <c r="A9" s="29"/>
      <c r="B9" s="55" t="s">
        <v>563</v>
      </c>
      <c r="C9" s="56"/>
      <c r="D9" s="56"/>
      <c r="E9" s="56"/>
      <c r="F9" s="55"/>
      <c r="G9" s="55"/>
      <c r="H9" s="56"/>
      <c r="I9" s="57"/>
      <c r="J9" s="58"/>
      <c r="K9" s="59"/>
      <c r="L9" s="59"/>
      <c r="M9" s="59"/>
      <c r="N9" s="59"/>
      <c r="O9" s="59"/>
    </row>
    <row r="10" spans="1:21" x14ac:dyDescent="0.3">
      <c r="A10" s="29"/>
      <c r="B10" s="60" t="s">
        <v>564</v>
      </c>
      <c r="C10" s="61"/>
      <c r="D10" s="62"/>
      <c r="E10" s="62"/>
      <c r="F10" s="63"/>
      <c r="G10" s="63"/>
      <c r="H10" s="62"/>
      <c r="I10" s="64"/>
      <c r="J10" s="65"/>
      <c r="K10" s="66"/>
      <c r="L10" s="66"/>
      <c r="M10" s="66"/>
      <c r="N10" s="66"/>
      <c r="O10" s="66"/>
    </row>
    <row r="11" spans="1:21" x14ac:dyDescent="0.3">
      <c r="A11" s="36"/>
      <c r="B11" s="67" t="s">
        <v>565</v>
      </c>
      <c r="C11" s="56"/>
      <c r="D11" s="68"/>
      <c r="E11" s="68"/>
      <c r="F11" s="69"/>
      <c r="G11" s="69"/>
      <c r="H11" s="68"/>
      <c r="I11" s="70"/>
      <c r="J11" s="71"/>
      <c r="K11" s="72"/>
      <c r="L11" s="72"/>
      <c r="M11" s="72"/>
      <c r="N11" s="72"/>
      <c r="O11" s="72"/>
    </row>
    <row r="12" spans="1:21" s="79" customFormat="1" x14ac:dyDescent="0.3">
      <c r="A12" s="29"/>
      <c r="B12" s="73" t="s">
        <v>566</v>
      </c>
      <c r="C12" s="74"/>
      <c r="D12" s="74"/>
      <c r="E12" s="74"/>
      <c r="F12" s="75"/>
      <c r="G12" s="75"/>
      <c r="H12" s="74"/>
      <c r="I12" s="76"/>
      <c r="J12" s="77"/>
      <c r="K12" s="78"/>
      <c r="L12" s="78"/>
      <c r="M12" s="78"/>
      <c r="N12" s="78"/>
      <c r="O12" s="78"/>
    </row>
    <row r="13" spans="1:21" s="36" customFormat="1" ht="16.95" customHeight="1" x14ac:dyDescent="0.3">
      <c r="A13" s="29"/>
      <c r="B13" s="80" t="s">
        <v>567</v>
      </c>
      <c r="C13" s="81"/>
      <c r="D13" s="82"/>
      <c r="E13" s="82"/>
      <c r="F13" s="83"/>
      <c r="G13" s="83"/>
      <c r="H13" s="82"/>
      <c r="I13" s="84"/>
      <c r="J13" s="85"/>
      <c r="K13" s="86"/>
      <c r="L13" s="86"/>
      <c r="M13" s="86"/>
      <c r="N13" s="86"/>
      <c r="O13" s="86"/>
      <c r="P13" s="86"/>
      <c r="Q13" s="86"/>
      <c r="R13" s="86"/>
      <c r="S13" s="86"/>
      <c r="T13" s="86"/>
      <c r="U13" s="86"/>
    </row>
    <row r="14" spans="1:21" s="95" customFormat="1" ht="16.95" customHeight="1" x14ac:dyDescent="0.3">
      <c r="A14" s="29"/>
      <c r="B14" s="87" t="s">
        <v>568</v>
      </c>
      <c r="C14" s="88"/>
      <c r="D14" s="89"/>
      <c r="E14" s="90"/>
      <c r="F14" s="91"/>
      <c r="G14" s="91"/>
      <c r="H14" s="90"/>
      <c r="I14" s="92"/>
      <c r="J14" s="93"/>
      <c r="K14" s="94"/>
      <c r="L14" s="94"/>
      <c r="M14" s="94"/>
      <c r="N14" s="94"/>
      <c r="O14" s="94"/>
      <c r="P14" s="94"/>
      <c r="Q14" s="94"/>
      <c r="R14" s="94"/>
      <c r="S14" s="94"/>
      <c r="T14" s="94"/>
      <c r="U14" s="94"/>
    </row>
    <row r="15" spans="1:21" x14ac:dyDescent="0.3">
      <c r="H15" s="96" t="s">
        <v>569</v>
      </c>
      <c r="I15" s="97"/>
      <c r="J15" s="98"/>
    </row>
    <row r="16" spans="1:21" s="99" customFormat="1" ht="78" x14ac:dyDescent="0.3">
      <c r="B16" s="100"/>
      <c r="C16" s="100"/>
      <c r="D16" s="100"/>
      <c r="E16" s="100"/>
      <c r="F16" s="100"/>
      <c r="G16" s="100"/>
      <c r="H16" s="101" t="s">
        <v>570</v>
      </c>
      <c r="I16" s="102" t="s">
        <v>571</v>
      </c>
      <c r="J16" s="103" t="s">
        <v>572</v>
      </c>
    </row>
    <row r="17" spans="1:11" s="112" customFormat="1" ht="46.8" x14ac:dyDescent="0.3">
      <c r="A17" s="104" t="s">
        <v>573</v>
      </c>
      <c r="B17" s="105" t="s">
        <v>574</v>
      </c>
      <c r="C17" s="106" t="s">
        <v>575</v>
      </c>
      <c r="D17" s="105" t="s">
        <v>576</v>
      </c>
      <c r="E17" s="105" t="s">
        <v>577</v>
      </c>
      <c r="F17" s="107" t="s">
        <v>578</v>
      </c>
      <c r="G17" s="107" t="s">
        <v>579</v>
      </c>
      <c r="H17" s="108" t="s">
        <v>580</v>
      </c>
      <c r="I17" s="109" t="s">
        <v>581</v>
      </c>
      <c r="J17" s="110" t="s">
        <v>581</v>
      </c>
      <c r="K17" s="111"/>
    </row>
    <row r="18" spans="1:11" s="118" customFormat="1" x14ac:dyDescent="0.3">
      <c r="A18" s="113">
        <v>1750</v>
      </c>
      <c r="B18" s="114"/>
      <c r="C18" s="114"/>
      <c r="D18" s="114">
        <v>-7.7592000000000008E-2</v>
      </c>
      <c r="E18" s="114"/>
      <c r="F18" s="115">
        <v>0.21394308393430189</v>
      </c>
      <c r="G18" s="114"/>
      <c r="H18" s="116">
        <f>(B18+C18)*44.01/12.0107</f>
        <v>0</v>
      </c>
      <c r="I18" s="117">
        <f>H18</f>
        <v>0</v>
      </c>
      <c r="J18" s="98"/>
      <c r="K18" s="113"/>
    </row>
    <row r="19" spans="1:11" s="119" customFormat="1" x14ac:dyDescent="0.3">
      <c r="A19" s="119">
        <v>1751</v>
      </c>
      <c r="B19" s="120">
        <v>3.0000000000000001E-3</v>
      </c>
      <c r="C19" s="120"/>
      <c r="D19" s="120">
        <v>-7.3987999999999998E-2</v>
      </c>
      <c r="E19" s="120"/>
      <c r="F19" s="115">
        <v>-0.508879621465544</v>
      </c>
      <c r="G19" s="120"/>
      <c r="H19" s="116">
        <f t="shared" ref="H19:H82" si="0">(B19+C19)*44.01/12.0107</f>
        <v>1.0992698177458434E-2</v>
      </c>
      <c r="I19" s="97">
        <f>I18+H19</f>
        <v>1.0992698177458434E-2</v>
      </c>
      <c r="J19" s="98"/>
    </row>
    <row r="20" spans="1:11" s="119" customFormat="1" x14ac:dyDescent="0.3">
      <c r="A20" s="119">
        <v>1752</v>
      </c>
      <c r="B20" s="120">
        <v>3.0000000000000001E-3</v>
      </c>
      <c r="C20" s="120"/>
      <c r="D20" s="120">
        <v>-7.0596000000000006E-2</v>
      </c>
      <c r="E20" s="120"/>
      <c r="F20" s="115">
        <v>-0.35929259145437908</v>
      </c>
      <c r="G20" s="120"/>
      <c r="H20" s="116">
        <f t="shared" si="0"/>
        <v>1.0992698177458434E-2</v>
      </c>
      <c r="I20" s="97">
        <f t="shared" ref="I20:I83" si="1">I19+H20</f>
        <v>2.1985396354916868E-2</v>
      </c>
      <c r="J20" s="98"/>
    </row>
    <row r="21" spans="1:11" s="119" customFormat="1" x14ac:dyDescent="0.3">
      <c r="A21" s="119">
        <v>1753</v>
      </c>
      <c r="B21" s="120">
        <v>3.0000000000000001E-3</v>
      </c>
      <c r="C21" s="120"/>
      <c r="D21" s="120">
        <v>-6.7627999999999994E-2</v>
      </c>
      <c r="E21" s="120"/>
      <c r="F21" s="115">
        <v>1.4550958339254891E-2</v>
      </c>
      <c r="G21" s="120"/>
      <c r="H21" s="116">
        <f t="shared" si="0"/>
        <v>1.0992698177458434E-2</v>
      </c>
      <c r="I21" s="97">
        <f t="shared" si="1"/>
        <v>3.2978094532375303E-2</v>
      </c>
      <c r="J21" s="98"/>
    </row>
    <row r="22" spans="1:11" s="119" customFormat="1" x14ac:dyDescent="0.3">
      <c r="A22" s="119">
        <v>1754</v>
      </c>
      <c r="B22" s="120">
        <v>3.0000000000000001E-3</v>
      </c>
      <c r="C22" s="120"/>
      <c r="D22" s="120">
        <v>-6.4024000000000011E-2</v>
      </c>
      <c r="E22" s="120"/>
      <c r="F22" s="115">
        <v>-0.27007010481208071</v>
      </c>
      <c r="G22" s="120"/>
      <c r="H22" s="116">
        <f t="shared" si="0"/>
        <v>1.0992698177458434E-2</v>
      </c>
      <c r="I22" s="97">
        <f t="shared" si="1"/>
        <v>4.3970792709833735E-2</v>
      </c>
      <c r="J22" s="98"/>
    </row>
    <row r="23" spans="1:11" s="119" customFormat="1" x14ac:dyDescent="0.3">
      <c r="A23" s="119">
        <v>1755</v>
      </c>
      <c r="B23" s="120">
        <v>3.0000000000000001E-3</v>
      </c>
      <c r="C23" s="120"/>
      <c r="D23" s="120">
        <v>-5.8088000000000008E-2</v>
      </c>
      <c r="E23" s="120"/>
      <c r="F23" s="115">
        <v>-0.11416939678969254</v>
      </c>
      <c r="G23" s="120"/>
      <c r="H23" s="116">
        <f t="shared" si="0"/>
        <v>1.0992698177458434E-2</v>
      </c>
      <c r="I23" s="97">
        <f t="shared" si="1"/>
        <v>5.4963490887292167E-2</v>
      </c>
      <c r="J23" s="98"/>
    </row>
    <row r="24" spans="1:11" s="119" customFormat="1" x14ac:dyDescent="0.3">
      <c r="A24" s="119">
        <v>1756</v>
      </c>
      <c r="B24" s="120">
        <v>3.0000000000000001E-3</v>
      </c>
      <c r="C24" s="120"/>
      <c r="D24" s="120">
        <v>-5.0243999999999997E-2</v>
      </c>
      <c r="E24" s="120"/>
      <c r="F24" s="115">
        <v>0.32343286578799396</v>
      </c>
      <c r="G24" s="120"/>
      <c r="H24" s="116">
        <f t="shared" si="0"/>
        <v>1.0992698177458434E-2</v>
      </c>
      <c r="I24" s="97">
        <f t="shared" si="1"/>
        <v>6.5956189064750606E-2</v>
      </c>
      <c r="J24" s="98"/>
    </row>
    <row r="25" spans="1:11" s="119" customFormat="1" x14ac:dyDescent="0.3">
      <c r="A25" s="119">
        <v>1757</v>
      </c>
      <c r="B25" s="120">
        <v>3.0000000000000001E-3</v>
      </c>
      <c r="C25" s="120"/>
      <c r="D25" s="120">
        <v>-4.0280000000000003E-2</v>
      </c>
      <c r="E25" s="120"/>
      <c r="F25" s="115">
        <v>0.52183062413835046</v>
      </c>
      <c r="G25" s="120"/>
      <c r="H25" s="116">
        <f t="shared" si="0"/>
        <v>1.0992698177458434E-2</v>
      </c>
      <c r="I25" s="97">
        <f t="shared" si="1"/>
        <v>7.6948887242209038E-2</v>
      </c>
      <c r="J25" s="98"/>
    </row>
    <row r="26" spans="1:11" s="119" customFormat="1" x14ac:dyDescent="0.3">
      <c r="A26" s="119">
        <v>1758</v>
      </c>
      <c r="B26" s="120">
        <v>3.0000000000000001E-3</v>
      </c>
      <c r="C26" s="120"/>
      <c r="D26" s="120">
        <v>-2.8408000000000003E-2</v>
      </c>
      <c r="E26" s="120"/>
      <c r="F26" s="115">
        <v>-1.1192030287125808E-2</v>
      </c>
      <c r="G26" s="120"/>
      <c r="H26" s="116">
        <f t="shared" si="0"/>
        <v>1.0992698177458434E-2</v>
      </c>
      <c r="I26" s="97">
        <f t="shared" si="1"/>
        <v>8.794158541966747E-2</v>
      </c>
      <c r="J26" s="98"/>
    </row>
    <row r="27" spans="1:11" s="119" customFormat="1" x14ac:dyDescent="0.3">
      <c r="A27" s="119">
        <v>1759</v>
      </c>
      <c r="B27" s="120">
        <v>3.0000000000000001E-3</v>
      </c>
      <c r="C27" s="120"/>
      <c r="D27" s="120">
        <v>-1.4204000000000001E-2</v>
      </c>
      <c r="E27" s="120"/>
      <c r="F27" s="115">
        <v>-0.54035508274741484</v>
      </c>
      <c r="G27" s="120"/>
      <c r="H27" s="116">
        <f t="shared" si="0"/>
        <v>1.0992698177458434E-2</v>
      </c>
      <c r="I27" s="97">
        <f t="shared" si="1"/>
        <v>9.8934283597125902E-2</v>
      </c>
      <c r="J27" s="98"/>
    </row>
    <row r="28" spans="1:11" s="119" customFormat="1" x14ac:dyDescent="0.3">
      <c r="A28" s="119">
        <v>1760</v>
      </c>
      <c r="B28" s="120">
        <v>3.0000000000000001E-3</v>
      </c>
      <c r="C28" s="120"/>
      <c r="D28" s="120">
        <v>1.908E-3</v>
      </c>
      <c r="E28" s="120"/>
      <c r="F28" s="115">
        <v>-2.9609539781690439E-2</v>
      </c>
      <c r="G28" s="120"/>
      <c r="H28" s="116">
        <f t="shared" si="0"/>
        <v>1.0992698177458434E-2</v>
      </c>
      <c r="I28" s="97">
        <f t="shared" si="1"/>
        <v>0.10992698177458433</v>
      </c>
      <c r="J28" s="98"/>
    </row>
    <row r="29" spans="1:11" s="119" customFormat="1" x14ac:dyDescent="0.3">
      <c r="A29" s="119">
        <v>1761</v>
      </c>
      <c r="B29" s="120">
        <v>3.0000000000000001E-3</v>
      </c>
      <c r="C29" s="120"/>
      <c r="D29" s="120">
        <v>2.0140000000000002E-2</v>
      </c>
      <c r="E29" s="120"/>
      <c r="F29" s="115">
        <v>-0.64925679040320305</v>
      </c>
      <c r="G29" s="120"/>
      <c r="H29" s="116">
        <f t="shared" si="0"/>
        <v>1.0992698177458434E-2</v>
      </c>
      <c r="I29" s="97">
        <f t="shared" si="1"/>
        <v>0.12091967995204277</v>
      </c>
      <c r="J29" s="98"/>
    </row>
    <row r="30" spans="1:11" s="119" customFormat="1" x14ac:dyDescent="0.3">
      <c r="A30" s="119">
        <v>1762</v>
      </c>
      <c r="B30" s="120">
        <v>3.0000000000000001E-3</v>
      </c>
      <c r="C30" s="120"/>
      <c r="D30" s="120">
        <v>4.0492E-2</v>
      </c>
      <c r="E30" s="120"/>
      <c r="F30" s="115">
        <v>-0.58067986106322111</v>
      </c>
      <c r="G30" s="120"/>
      <c r="H30" s="116">
        <f t="shared" si="0"/>
        <v>1.0992698177458434E-2</v>
      </c>
      <c r="I30" s="97">
        <f t="shared" si="1"/>
        <v>0.13191237812950121</v>
      </c>
      <c r="J30" s="98"/>
    </row>
    <row r="31" spans="1:11" s="119" customFormat="1" x14ac:dyDescent="0.3">
      <c r="A31" s="119">
        <v>1763</v>
      </c>
      <c r="B31" s="120">
        <v>3.0000000000000001E-3</v>
      </c>
      <c r="C31" s="120"/>
      <c r="D31" s="120">
        <v>6.2752000000000002E-2</v>
      </c>
      <c r="E31" s="120"/>
      <c r="F31" s="115">
        <v>0.35477832509565455</v>
      </c>
      <c r="G31" s="120"/>
      <c r="H31" s="116">
        <f t="shared" si="0"/>
        <v>1.0992698177458434E-2</v>
      </c>
      <c r="I31" s="97">
        <f t="shared" si="1"/>
        <v>0.14290507630695964</v>
      </c>
      <c r="J31" s="98"/>
    </row>
    <row r="32" spans="1:11" s="119" customFormat="1" x14ac:dyDescent="0.3">
      <c r="A32" s="119">
        <v>1764</v>
      </c>
      <c r="B32" s="120">
        <v>3.0000000000000001E-3</v>
      </c>
      <c r="C32" s="120"/>
      <c r="D32" s="120">
        <v>8.7344000000000005E-2</v>
      </c>
      <c r="E32" s="120"/>
      <c r="F32" s="115">
        <v>0.48954693877004363</v>
      </c>
      <c r="G32" s="120"/>
      <c r="H32" s="116">
        <f t="shared" si="0"/>
        <v>1.0992698177458434E-2</v>
      </c>
      <c r="I32" s="97">
        <f t="shared" si="1"/>
        <v>0.15389777448441808</v>
      </c>
      <c r="J32" s="98"/>
    </row>
    <row r="33" spans="1:10" s="119" customFormat="1" x14ac:dyDescent="0.3">
      <c r="A33" s="119">
        <v>1765</v>
      </c>
      <c r="B33" s="120">
        <v>3.0000000000000001E-3</v>
      </c>
      <c r="C33" s="120"/>
      <c r="D33" s="120">
        <v>0.11236</v>
      </c>
      <c r="E33" s="120"/>
      <c r="F33" s="115">
        <v>-0.23084866813481614</v>
      </c>
      <c r="G33" s="120"/>
      <c r="H33" s="116">
        <f t="shared" si="0"/>
        <v>1.0992698177458434E-2</v>
      </c>
      <c r="I33" s="97">
        <f t="shared" si="1"/>
        <v>0.16489047266187651</v>
      </c>
      <c r="J33" s="98"/>
    </row>
    <row r="34" spans="1:10" s="119" customFormat="1" x14ac:dyDescent="0.3">
      <c r="A34" s="119">
        <v>1766</v>
      </c>
      <c r="B34" s="120">
        <v>3.0000000000000001E-3</v>
      </c>
      <c r="C34" s="120"/>
      <c r="D34" s="120">
        <v>0.13525599999999999</v>
      </c>
      <c r="E34" s="120"/>
      <c r="F34" s="115">
        <v>0.1761303114380281</v>
      </c>
      <c r="G34" s="120"/>
      <c r="H34" s="116">
        <f t="shared" si="0"/>
        <v>1.0992698177458434E-2</v>
      </c>
      <c r="I34" s="97">
        <f t="shared" si="1"/>
        <v>0.17588317083933494</v>
      </c>
      <c r="J34" s="98"/>
    </row>
    <row r="35" spans="1:10" s="119" customFormat="1" x14ac:dyDescent="0.3">
      <c r="A35" s="119">
        <v>1767</v>
      </c>
      <c r="B35" s="120">
        <v>3.0000000000000001E-3</v>
      </c>
      <c r="C35" s="120"/>
      <c r="D35" s="120">
        <v>0.156032</v>
      </c>
      <c r="E35" s="120"/>
      <c r="F35" s="115">
        <v>0.308281264820854</v>
      </c>
      <c r="G35" s="120"/>
      <c r="H35" s="116">
        <f t="shared" si="0"/>
        <v>1.0992698177458434E-2</v>
      </c>
      <c r="I35" s="97">
        <f t="shared" si="1"/>
        <v>0.18687586901679337</v>
      </c>
      <c r="J35" s="98"/>
    </row>
    <row r="36" spans="1:10" s="119" customFormat="1" x14ac:dyDescent="0.3">
      <c r="A36" s="119">
        <v>1768</v>
      </c>
      <c r="B36" s="120">
        <v>3.0000000000000001E-3</v>
      </c>
      <c r="C36" s="120"/>
      <c r="D36" s="120">
        <v>0.17447599999999999</v>
      </c>
      <c r="E36" s="120"/>
      <c r="F36" s="115">
        <v>0.32410190096636493</v>
      </c>
      <c r="G36" s="120"/>
      <c r="H36" s="116">
        <f t="shared" si="0"/>
        <v>1.0992698177458434E-2</v>
      </c>
      <c r="I36" s="97">
        <f t="shared" si="1"/>
        <v>0.1978685671942518</v>
      </c>
      <c r="J36" s="98"/>
    </row>
    <row r="37" spans="1:10" s="119" customFormat="1" x14ac:dyDescent="0.3">
      <c r="A37" s="119">
        <v>1769</v>
      </c>
      <c r="B37" s="120">
        <v>3.0000000000000001E-3</v>
      </c>
      <c r="C37" s="120"/>
      <c r="D37" s="120">
        <v>0.19058800000000001</v>
      </c>
      <c r="E37" s="120"/>
      <c r="F37" s="115">
        <v>8.5274239322103887E-2</v>
      </c>
      <c r="G37" s="120"/>
      <c r="H37" s="116">
        <f t="shared" si="0"/>
        <v>1.0992698177458434E-2</v>
      </c>
      <c r="I37" s="97">
        <f t="shared" si="1"/>
        <v>0.20886126537171024</v>
      </c>
      <c r="J37" s="98"/>
    </row>
    <row r="38" spans="1:10" s="119" customFormat="1" x14ac:dyDescent="0.3">
      <c r="A38" s="119">
        <v>1770</v>
      </c>
      <c r="B38" s="120">
        <v>3.0000000000000001E-3</v>
      </c>
      <c r="C38" s="120"/>
      <c r="D38" s="120">
        <v>0.20458000000000001</v>
      </c>
      <c r="E38" s="120"/>
      <c r="F38" s="115">
        <v>0.14375617417797493</v>
      </c>
      <c r="G38" s="120"/>
      <c r="H38" s="116">
        <f t="shared" si="0"/>
        <v>1.0992698177458434E-2</v>
      </c>
      <c r="I38" s="97">
        <f t="shared" si="1"/>
        <v>0.21985396354916867</v>
      </c>
      <c r="J38" s="98"/>
    </row>
    <row r="39" spans="1:10" s="119" customFormat="1" x14ac:dyDescent="0.3">
      <c r="A39" s="119">
        <v>1771</v>
      </c>
      <c r="B39" s="120">
        <v>4.0000000000000001E-3</v>
      </c>
      <c r="C39" s="120"/>
      <c r="D39" s="120">
        <v>0.21645200000000001</v>
      </c>
      <c r="E39" s="120"/>
      <c r="F39" s="115">
        <v>-0.19903235756343454</v>
      </c>
      <c r="G39" s="120"/>
      <c r="H39" s="116">
        <f t="shared" si="0"/>
        <v>1.4656930903277911E-2</v>
      </c>
      <c r="I39" s="97">
        <f t="shared" si="1"/>
        <v>0.23451089445244658</v>
      </c>
      <c r="J39" s="98"/>
    </row>
    <row r="40" spans="1:10" s="119" customFormat="1" x14ac:dyDescent="0.3">
      <c r="A40" s="119">
        <v>1772</v>
      </c>
      <c r="B40" s="120">
        <v>4.0000000000000001E-3</v>
      </c>
      <c r="C40" s="120"/>
      <c r="D40" s="120">
        <v>0.225992</v>
      </c>
      <c r="E40" s="120"/>
      <c r="F40" s="115">
        <v>-0.30891876133628771</v>
      </c>
      <c r="G40" s="120"/>
      <c r="H40" s="116">
        <f t="shared" si="0"/>
        <v>1.4656930903277911E-2</v>
      </c>
      <c r="I40" s="97">
        <f t="shared" si="1"/>
        <v>0.24916782535572449</v>
      </c>
      <c r="J40" s="98"/>
    </row>
    <row r="41" spans="1:10" s="119" customFormat="1" x14ac:dyDescent="0.3">
      <c r="A41" s="119">
        <v>1773</v>
      </c>
      <c r="B41" s="120">
        <v>4.0000000000000001E-3</v>
      </c>
      <c r="C41" s="120"/>
      <c r="D41" s="120">
        <v>0.23320000000000002</v>
      </c>
      <c r="E41" s="120"/>
      <c r="F41" s="115">
        <v>2.7356907878400154E-2</v>
      </c>
      <c r="G41" s="120"/>
      <c r="H41" s="116">
        <f t="shared" si="0"/>
        <v>1.4656930903277911E-2</v>
      </c>
      <c r="I41" s="97">
        <f t="shared" si="1"/>
        <v>0.26382475625900242</v>
      </c>
      <c r="J41" s="98"/>
    </row>
    <row r="42" spans="1:10" s="119" customFormat="1" x14ac:dyDescent="0.3">
      <c r="A42" s="119">
        <v>1774</v>
      </c>
      <c r="B42" s="120">
        <v>4.0000000000000001E-3</v>
      </c>
      <c r="C42" s="120"/>
      <c r="D42" s="120">
        <v>0.238288</v>
      </c>
      <c r="E42" s="120"/>
      <c r="F42" s="115">
        <v>-8.8203341810887487E-2</v>
      </c>
      <c r="G42" s="120"/>
      <c r="H42" s="116">
        <f t="shared" si="0"/>
        <v>1.4656930903277911E-2</v>
      </c>
      <c r="I42" s="97">
        <f t="shared" si="1"/>
        <v>0.27848168716228033</v>
      </c>
      <c r="J42" s="98"/>
    </row>
    <row r="43" spans="1:10" s="119" customFormat="1" x14ac:dyDescent="0.3">
      <c r="A43" s="119">
        <v>1775</v>
      </c>
      <c r="B43" s="120">
        <v>4.0000000000000001E-3</v>
      </c>
      <c r="C43" s="120"/>
      <c r="D43" s="120">
        <v>0.24252800000000002</v>
      </c>
      <c r="E43" s="120"/>
      <c r="F43" s="115">
        <v>6.3558674097430906E-2</v>
      </c>
      <c r="G43" s="120"/>
      <c r="H43" s="116">
        <f t="shared" si="0"/>
        <v>1.4656930903277911E-2</v>
      </c>
      <c r="I43" s="97">
        <f t="shared" si="1"/>
        <v>0.29313861806555824</v>
      </c>
      <c r="J43" s="98"/>
    </row>
    <row r="44" spans="1:10" s="119" customFormat="1" x14ac:dyDescent="0.3">
      <c r="A44" s="119">
        <v>1776</v>
      </c>
      <c r="B44" s="120">
        <v>4.0000000000000001E-3</v>
      </c>
      <c r="C44" s="120"/>
      <c r="D44" s="120">
        <v>0.24846400000000002</v>
      </c>
      <c r="E44" s="120"/>
      <c r="F44" s="115">
        <v>0.42099173786652672</v>
      </c>
      <c r="G44" s="120"/>
      <c r="H44" s="116">
        <f t="shared" si="0"/>
        <v>1.4656930903277911E-2</v>
      </c>
      <c r="I44" s="97">
        <f t="shared" si="1"/>
        <v>0.30779554896883615</v>
      </c>
      <c r="J44" s="98"/>
    </row>
    <row r="45" spans="1:10" s="119" customFormat="1" x14ac:dyDescent="0.3">
      <c r="A45" s="119">
        <v>1777</v>
      </c>
      <c r="B45" s="120">
        <v>4.0000000000000001E-3</v>
      </c>
      <c r="C45" s="120"/>
      <c r="D45" s="120">
        <v>0.25630799999999998</v>
      </c>
      <c r="E45" s="120"/>
      <c r="F45" s="115">
        <v>0.63792419985080595</v>
      </c>
      <c r="G45" s="120"/>
      <c r="H45" s="116">
        <f t="shared" si="0"/>
        <v>1.4656930903277911E-2</v>
      </c>
      <c r="I45" s="97">
        <f t="shared" si="1"/>
        <v>0.32245247987211406</v>
      </c>
      <c r="J45" s="98"/>
    </row>
    <row r="46" spans="1:10" s="119" customFormat="1" x14ac:dyDescent="0.3">
      <c r="A46" s="119">
        <v>1778</v>
      </c>
      <c r="B46" s="120">
        <v>4.0000000000000001E-3</v>
      </c>
      <c r="C46" s="120"/>
      <c r="D46" s="120">
        <v>0.26606000000000002</v>
      </c>
      <c r="E46" s="120"/>
      <c r="F46" s="115">
        <v>9.8091522194724431E-2</v>
      </c>
      <c r="G46" s="120"/>
      <c r="H46" s="116">
        <f t="shared" si="0"/>
        <v>1.4656930903277911E-2</v>
      </c>
      <c r="I46" s="97">
        <f t="shared" si="1"/>
        <v>0.33710941077539197</v>
      </c>
      <c r="J46" s="98"/>
    </row>
    <row r="47" spans="1:10" s="119" customFormat="1" x14ac:dyDescent="0.3">
      <c r="A47" s="119">
        <v>1779</v>
      </c>
      <c r="B47" s="120">
        <v>4.0000000000000001E-3</v>
      </c>
      <c r="C47" s="120"/>
      <c r="D47" s="120">
        <v>0.27772000000000002</v>
      </c>
      <c r="E47" s="120"/>
      <c r="F47" s="115">
        <v>-0.38759338284949663</v>
      </c>
      <c r="G47" s="120"/>
      <c r="H47" s="116">
        <f t="shared" si="0"/>
        <v>1.4656930903277911E-2</v>
      </c>
      <c r="I47" s="97">
        <f t="shared" si="1"/>
        <v>0.35176634167866988</v>
      </c>
      <c r="J47" s="98"/>
    </row>
    <row r="48" spans="1:10" s="119" customFormat="1" x14ac:dyDescent="0.3">
      <c r="A48" s="119">
        <v>1780</v>
      </c>
      <c r="B48" s="120">
        <v>4.0000000000000001E-3</v>
      </c>
      <c r="C48" s="120"/>
      <c r="D48" s="120">
        <v>0.29150000000000004</v>
      </c>
      <c r="E48" s="120"/>
      <c r="F48" s="115">
        <v>0.24034209801291823</v>
      </c>
      <c r="G48" s="120"/>
      <c r="H48" s="116">
        <f t="shared" si="0"/>
        <v>1.4656930903277911E-2</v>
      </c>
      <c r="I48" s="97">
        <f t="shared" si="1"/>
        <v>0.36642327258194779</v>
      </c>
      <c r="J48" s="98"/>
    </row>
    <row r="49" spans="1:10" s="119" customFormat="1" x14ac:dyDescent="0.3">
      <c r="A49" s="119">
        <v>1781</v>
      </c>
      <c r="B49" s="120">
        <v>5.0000000000000001E-3</v>
      </c>
      <c r="C49" s="120"/>
      <c r="D49" s="120">
        <v>0.31481999999999999</v>
      </c>
      <c r="E49" s="120">
        <v>7.4330000000000007E-2</v>
      </c>
      <c r="F49" s="115">
        <v>-0.50686384023549658</v>
      </c>
      <c r="G49" s="120"/>
      <c r="H49" s="116">
        <f t="shared" si="0"/>
        <v>1.8321163629097387E-2</v>
      </c>
      <c r="I49" s="97">
        <f t="shared" si="1"/>
        <v>0.38474443621104515</v>
      </c>
      <c r="J49" s="98"/>
    </row>
    <row r="50" spans="1:10" s="119" customFormat="1" x14ac:dyDescent="0.3">
      <c r="A50" s="119">
        <v>1782</v>
      </c>
      <c r="B50" s="120">
        <v>5.0000000000000001E-3</v>
      </c>
      <c r="C50" s="120"/>
      <c r="D50" s="120">
        <v>0.34831600000000001</v>
      </c>
      <c r="E50" s="120">
        <v>8.2155000000000006E-2</v>
      </c>
      <c r="F50" s="115">
        <v>-0.46741772938419535</v>
      </c>
      <c r="G50" s="120"/>
      <c r="H50" s="116">
        <f t="shared" si="0"/>
        <v>1.8321163629097387E-2</v>
      </c>
      <c r="I50" s="97">
        <f t="shared" si="1"/>
        <v>0.40306559984014256</v>
      </c>
      <c r="J50" s="98"/>
    </row>
    <row r="51" spans="1:10" s="119" customFormat="1" x14ac:dyDescent="0.3">
      <c r="A51" s="119">
        <v>1783</v>
      </c>
      <c r="B51" s="120">
        <v>5.0000000000000001E-3</v>
      </c>
      <c r="C51" s="120"/>
      <c r="D51" s="120">
        <v>0.37884400000000001</v>
      </c>
      <c r="E51" s="120">
        <v>8.9519999999999988E-2</v>
      </c>
      <c r="F51" s="115">
        <v>0.64722384181310899</v>
      </c>
      <c r="G51" s="120"/>
      <c r="H51" s="116">
        <f t="shared" si="0"/>
        <v>1.8321163629097387E-2</v>
      </c>
      <c r="I51" s="97">
        <f t="shared" si="1"/>
        <v>0.42138676346923998</v>
      </c>
      <c r="J51" s="98"/>
    </row>
    <row r="52" spans="1:10" s="119" customFormat="1" x14ac:dyDescent="0.3">
      <c r="A52" s="119">
        <v>1784</v>
      </c>
      <c r="B52" s="120">
        <v>5.0000000000000001E-3</v>
      </c>
      <c r="C52" s="120"/>
      <c r="D52" s="120">
        <v>0.40598000000000001</v>
      </c>
      <c r="E52" s="120">
        <v>0.10207000000000001</v>
      </c>
      <c r="F52" s="115">
        <v>0.76546626600027301</v>
      </c>
      <c r="G52" s="120"/>
      <c r="H52" s="116">
        <f t="shared" si="0"/>
        <v>1.8321163629097387E-2</v>
      </c>
      <c r="I52" s="97">
        <f t="shared" si="1"/>
        <v>0.43970792709833739</v>
      </c>
      <c r="J52" s="98"/>
    </row>
    <row r="53" spans="1:10" s="119" customFormat="1" x14ac:dyDescent="0.3">
      <c r="A53" s="119">
        <v>1785</v>
      </c>
      <c r="B53" s="120">
        <v>5.0000000000000001E-3</v>
      </c>
      <c r="C53" s="120"/>
      <c r="D53" s="120">
        <v>0.429512</v>
      </c>
      <c r="E53" s="120">
        <v>0.10420500000000001</v>
      </c>
      <c r="F53" s="115">
        <v>5.2012247419807776E-2</v>
      </c>
      <c r="G53" s="120"/>
      <c r="H53" s="116">
        <f t="shared" si="0"/>
        <v>1.8321163629097387E-2</v>
      </c>
      <c r="I53" s="97">
        <f t="shared" si="1"/>
        <v>0.45802909072743481</v>
      </c>
      <c r="J53" s="98"/>
    </row>
    <row r="54" spans="1:10" s="119" customFormat="1" x14ac:dyDescent="0.3">
      <c r="A54" s="119">
        <v>1786</v>
      </c>
      <c r="B54" s="120">
        <v>5.0000000000000001E-3</v>
      </c>
      <c r="C54" s="120"/>
      <c r="D54" s="120">
        <v>0.44944000000000001</v>
      </c>
      <c r="E54" s="120">
        <v>0.11673</v>
      </c>
      <c r="F54" s="115">
        <v>0.39976750512904391</v>
      </c>
      <c r="G54" s="120"/>
      <c r="H54" s="116">
        <f t="shared" si="0"/>
        <v>1.8321163629097387E-2</v>
      </c>
      <c r="I54" s="97">
        <f t="shared" si="1"/>
        <v>0.47635025435653222</v>
      </c>
      <c r="J54" s="98"/>
    </row>
    <row r="55" spans="1:10" s="119" customFormat="1" x14ac:dyDescent="0.3">
      <c r="A55" s="119">
        <v>1787</v>
      </c>
      <c r="B55" s="120">
        <v>5.0000000000000001E-3</v>
      </c>
      <c r="C55" s="120"/>
      <c r="D55" s="120">
        <v>0.46576400000000001</v>
      </c>
      <c r="E55" s="120">
        <v>0.12393</v>
      </c>
      <c r="F55" s="115">
        <v>0.51739851821718796</v>
      </c>
      <c r="G55" s="120"/>
      <c r="H55" s="116">
        <f t="shared" si="0"/>
        <v>1.8321163629097387E-2</v>
      </c>
      <c r="I55" s="97">
        <f t="shared" si="1"/>
        <v>0.49467141798562964</v>
      </c>
      <c r="J55" s="98"/>
    </row>
    <row r="56" spans="1:10" s="119" customFormat="1" x14ac:dyDescent="0.3">
      <c r="A56" s="119">
        <v>1788</v>
      </c>
      <c r="B56" s="120">
        <v>5.0000000000000001E-3</v>
      </c>
      <c r="C56" s="120"/>
      <c r="D56" s="120">
        <v>0.47869600000000001</v>
      </c>
      <c r="E56" s="120">
        <v>0.131105</v>
      </c>
      <c r="F56" s="115">
        <v>0.5319706257834792</v>
      </c>
      <c r="G56" s="120"/>
      <c r="H56" s="116">
        <f t="shared" si="0"/>
        <v>1.8321163629097387E-2</v>
      </c>
      <c r="I56" s="97">
        <f t="shared" si="1"/>
        <v>0.51299258161472705</v>
      </c>
      <c r="J56" s="98"/>
    </row>
    <row r="57" spans="1:10" s="119" customFormat="1" x14ac:dyDescent="0.3">
      <c r="A57" s="119">
        <v>1789</v>
      </c>
      <c r="B57" s="120">
        <v>5.0000000000000001E-3</v>
      </c>
      <c r="C57" s="120"/>
      <c r="D57" s="120">
        <v>0.48802400000000001</v>
      </c>
      <c r="E57" s="120">
        <v>0.13300999999999999</v>
      </c>
      <c r="F57" s="115">
        <v>0.20853920228232878</v>
      </c>
      <c r="G57" s="120"/>
      <c r="H57" s="116">
        <f t="shared" si="0"/>
        <v>1.8321163629097387E-2</v>
      </c>
      <c r="I57" s="97">
        <f t="shared" si="1"/>
        <v>0.53131374524382446</v>
      </c>
      <c r="J57" s="98"/>
    </row>
    <row r="58" spans="1:10" s="119" customFormat="1" x14ac:dyDescent="0.3">
      <c r="A58" s="119">
        <v>1790</v>
      </c>
      <c r="B58" s="120">
        <v>5.0000000000000001E-3</v>
      </c>
      <c r="C58" s="120"/>
      <c r="D58" s="120">
        <v>0.49374800000000002</v>
      </c>
      <c r="E58" s="120">
        <v>0.14018999999999998</v>
      </c>
      <c r="F58" s="115">
        <v>0.41873223673566634</v>
      </c>
      <c r="G58" s="120"/>
      <c r="H58" s="116">
        <f t="shared" si="0"/>
        <v>1.8321163629097387E-2</v>
      </c>
      <c r="I58" s="97">
        <f t="shared" si="1"/>
        <v>0.54963490887292188</v>
      </c>
      <c r="J58" s="98"/>
    </row>
    <row r="59" spans="1:10" s="119" customFormat="1" x14ac:dyDescent="0.3">
      <c r="A59" s="119">
        <v>1791</v>
      </c>
      <c r="B59" s="120">
        <v>6.0000000000000001E-3</v>
      </c>
      <c r="C59" s="120"/>
      <c r="D59" s="120">
        <v>0.49586800000000003</v>
      </c>
      <c r="E59" s="120">
        <v>0.147095</v>
      </c>
      <c r="F59" s="115">
        <v>-0.1104482639378897</v>
      </c>
      <c r="G59" s="120"/>
      <c r="H59" s="116">
        <f t="shared" si="0"/>
        <v>2.1985396354916868E-2</v>
      </c>
      <c r="I59" s="97">
        <f t="shared" si="1"/>
        <v>0.5716203052278388</v>
      </c>
      <c r="J59" s="98"/>
    </row>
    <row r="60" spans="1:10" s="119" customFormat="1" x14ac:dyDescent="0.3">
      <c r="A60" s="119">
        <v>1792</v>
      </c>
      <c r="B60" s="120">
        <v>6.0000000000000001E-3</v>
      </c>
      <c r="C60" s="120"/>
      <c r="D60" s="120">
        <v>0.49438399999999999</v>
      </c>
      <c r="E60" s="120">
        <v>0.14901</v>
      </c>
      <c r="F60" s="115">
        <v>0.13036338025812913</v>
      </c>
      <c r="G60" s="120"/>
      <c r="H60" s="116">
        <f t="shared" si="0"/>
        <v>2.1985396354916868E-2</v>
      </c>
      <c r="I60" s="97">
        <f t="shared" si="1"/>
        <v>0.59360570158275572</v>
      </c>
      <c r="J60" s="98"/>
    </row>
    <row r="61" spans="1:10" s="119" customFormat="1" x14ac:dyDescent="0.3">
      <c r="A61" s="119">
        <v>1793</v>
      </c>
      <c r="B61" s="120">
        <v>6.0000000000000001E-3</v>
      </c>
      <c r="C61" s="120"/>
      <c r="D61" s="120">
        <v>0.48929600000000001</v>
      </c>
      <c r="E61" s="120">
        <v>0.15568000000000001</v>
      </c>
      <c r="F61" s="115">
        <v>0.24432979785694581</v>
      </c>
      <c r="G61" s="120"/>
      <c r="H61" s="116">
        <f t="shared" si="0"/>
        <v>2.1985396354916868E-2</v>
      </c>
      <c r="I61" s="97">
        <f t="shared" si="1"/>
        <v>0.61559109793767264</v>
      </c>
      <c r="J61" s="98"/>
    </row>
    <row r="62" spans="1:10" s="119" customFormat="1" x14ac:dyDescent="0.3">
      <c r="A62" s="119">
        <v>1794</v>
      </c>
      <c r="B62" s="120">
        <v>6.0000000000000001E-3</v>
      </c>
      <c r="C62" s="120"/>
      <c r="D62" s="120">
        <v>0.48081600000000002</v>
      </c>
      <c r="E62" s="120">
        <v>0.15749000000000002</v>
      </c>
      <c r="F62" s="115">
        <v>0.33138577490660642</v>
      </c>
      <c r="G62" s="120"/>
      <c r="H62" s="116">
        <f t="shared" si="0"/>
        <v>2.1985396354916868E-2</v>
      </c>
      <c r="I62" s="97">
        <f t="shared" si="1"/>
        <v>0.63757649429258956</v>
      </c>
      <c r="J62" s="98"/>
    </row>
    <row r="63" spans="1:10" s="119" customFormat="1" x14ac:dyDescent="0.3">
      <c r="A63" s="119">
        <v>1795</v>
      </c>
      <c r="B63" s="120">
        <v>6.0000000000000001E-3</v>
      </c>
      <c r="C63" s="120"/>
      <c r="D63" s="120">
        <v>0.46873199999999998</v>
      </c>
      <c r="E63" s="120">
        <v>0.16380499999999998</v>
      </c>
      <c r="F63" s="115">
        <v>0.27636467999617709</v>
      </c>
      <c r="G63" s="120"/>
      <c r="H63" s="116">
        <f t="shared" si="0"/>
        <v>2.1985396354916868E-2</v>
      </c>
      <c r="I63" s="97">
        <f t="shared" si="1"/>
        <v>0.65956189064750648</v>
      </c>
      <c r="J63" s="98"/>
    </row>
    <row r="64" spans="1:10" s="119" customFormat="1" x14ac:dyDescent="0.3">
      <c r="A64" s="119">
        <v>1796</v>
      </c>
      <c r="B64" s="120">
        <v>6.0000000000000001E-3</v>
      </c>
      <c r="C64" s="120"/>
      <c r="D64" s="120">
        <v>0.45474000000000003</v>
      </c>
      <c r="E64" s="120">
        <v>0.164995</v>
      </c>
      <c r="F64" s="115">
        <v>0.6207011051458039</v>
      </c>
      <c r="G64" s="120"/>
      <c r="H64" s="116">
        <f t="shared" si="0"/>
        <v>2.1985396354916868E-2</v>
      </c>
      <c r="I64" s="97">
        <f t="shared" si="1"/>
        <v>0.6815472870024234</v>
      </c>
      <c r="J64" s="98"/>
    </row>
    <row r="65" spans="1:10" s="119" customFormat="1" x14ac:dyDescent="0.3">
      <c r="A65" s="119">
        <v>1797</v>
      </c>
      <c r="B65" s="120">
        <v>7.0000000000000001E-3</v>
      </c>
      <c r="C65" s="120"/>
      <c r="D65" s="120">
        <v>0.43947600000000003</v>
      </c>
      <c r="E65" s="120">
        <v>0.1658</v>
      </c>
      <c r="F65" s="115">
        <v>1.0076587811032094</v>
      </c>
      <c r="G65" s="120"/>
      <c r="H65" s="116">
        <f t="shared" si="0"/>
        <v>2.5649629080736345E-2</v>
      </c>
      <c r="I65" s="97">
        <f t="shared" si="1"/>
        <v>0.70719691608315971</v>
      </c>
      <c r="J65" s="98"/>
    </row>
    <row r="66" spans="1:10" s="119" customFormat="1" x14ac:dyDescent="0.3">
      <c r="A66" s="119">
        <v>1798</v>
      </c>
      <c r="B66" s="120">
        <v>7.0000000000000001E-3</v>
      </c>
      <c r="C66" s="120"/>
      <c r="D66" s="120">
        <v>0.42188000000000003</v>
      </c>
      <c r="E66" s="120">
        <v>0.16672999999999999</v>
      </c>
      <c r="F66" s="115">
        <v>0.50302875359937338</v>
      </c>
      <c r="G66" s="120"/>
      <c r="H66" s="116">
        <f t="shared" si="0"/>
        <v>2.5649629080736345E-2</v>
      </c>
      <c r="I66" s="97">
        <f t="shared" si="1"/>
        <v>0.73284654516389602</v>
      </c>
      <c r="J66" s="98"/>
    </row>
    <row r="67" spans="1:10" s="119" customFormat="1" x14ac:dyDescent="0.3">
      <c r="A67" s="119">
        <v>1799</v>
      </c>
      <c r="B67" s="120">
        <v>7.0000000000000001E-3</v>
      </c>
      <c r="C67" s="120"/>
      <c r="D67" s="120">
        <v>0.40195199999999998</v>
      </c>
      <c r="E67" s="120">
        <v>0.16723499999999999</v>
      </c>
      <c r="F67" s="115">
        <v>3.2673309249184462E-3</v>
      </c>
      <c r="G67" s="120"/>
      <c r="H67" s="116">
        <f t="shared" si="0"/>
        <v>2.5649629080736345E-2</v>
      </c>
      <c r="I67" s="97">
        <f t="shared" si="1"/>
        <v>0.75849617424463234</v>
      </c>
      <c r="J67" s="98"/>
    </row>
    <row r="68" spans="1:10" s="119" customFormat="1" x14ac:dyDescent="0.3">
      <c r="A68" s="119">
        <v>1800</v>
      </c>
      <c r="B68" s="120">
        <v>8.0000000000000002E-3</v>
      </c>
      <c r="C68" s="120"/>
      <c r="D68" s="120">
        <v>0.38053999999999999</v>
      </c>
      <c r="E68" s="120">
        <v>0.17277000000000001</v>
      </c>
      <c r="F68" s="115">
        <v>0.4254952807331438</v>
      </c>
      <c r="G68" s="120"/>
      <c r="H68" s="116">
        <f t="shared" si="0"/>
        <v>2.9313861806555822E-2</v>
      </c>
      <c r="I68" s="97">
        <f t="shared" si="1"/>
        <v>0.78781003605118816</v>
      </c>
      <c r="J68" s="98"/>
    </row>
    <row r="69" spans="1:10" s="119" customFormat="1" x14ac:dyDescent="0.3">
      <c r="A69" s="119">
        <v>1801</v>
      </c>
      <c r="B69" s="120">
        <v>8.0000000000000002E-3</v>
      </c>
      <c r="C69" s="120"/>
      <c r="D69" s="120">
        <v>0.36167200000000005</v>
      </c>
      <c r="E69" s="120">
        <v>0.173235</v>
      </c>
      <c r="F69" s="115">
        <v>-0.18503367870501955</v>
      </c>
      <c r="G69" s="120"/>
      <c r="H69" s="116">
        <f t="shared" si="0"/>
        <v>2.9313861806555822E-2</v>
      </c>
      <c r="I69" s="97">
        <f t="shared" si="1"/>
        <v>0.81712389785774397</v>
      </c>
      <c r="J69" s="98"/>
    </row>
    <row r="70" spans="1:10" s="119" customFormat="1" x14ac:dyDescent="0.3">
      <c r="A70" s="119">
        <v>1802</v>
      </c>
      <c r="B70" s="120">
        <v>0.01</v>
      </c>
      <c r="C70" s="120"/>
      <c r="D70" s="120">
        <v>0.34238000000000002</v>
      </c>
      <c r="E70" s="120">
        <v>0.17336499999999999</v>
      </c>
      <c r="F70" s="115">
        <v>-0.11489465536935856</v>
      </c>
      <c r="G70" s="120"/>
      <c r="H70" s="116">
        <f t="shared" si="0"/>
        <v>3.6642327258194773E-2</v>
      </c>
      <c r="I70" s="97">
        <f t="shared" si="1"/>
        <v>0.8537662251159388</v>
      </c>
      <c r="J70" s="98"/>
    </row>
    <row r="71" spans="1:10" s="119" customFormat="1" x14ac:dyDescent="0.3">
      <c r="A71" s="119">
        <v>1803</v>
      </c>
      <c r="B71" s="120">
        <v>8.9999999999999993E-3</v>
      </c>
      <c r="C71" s="120"/>
      <c r="D71" s="120">
        <v>0.32181599999999999</v>
      </c>
      <c r="E71" s="120">
        <v>0.17366999999999999</v>
      </c>
      <c r="F71" s="115">
        <v>0.8650603786762312</v>
      </c>
      <c r="G71" s="120"/>
      <c r="H71" s="116">
        <f t="shared" si="0"/>
        <v>3.2978094532375296E-2</v>
      </c>
      <c r="I71" s="97">
        <f t="shared" si="1"/>
        <v>0.88674431964831413</v>
      </c>
      <c r="J71" s="98"/>
    </row>
    <row r="72" spans="1:10" s="119" customFormat="1" x14ac:dyDescent="0.3">
      <c r="A72" s="119">
        <v>1804</v>
      </c>
      <c r="B72" s="120">
        <v>8.9999999999999993E-3</v>
      </c>
      <c r="C72" s="120"/>
      <c r="D72" s="120">
        <v>0.30019200000000001</v>
      </c>
      <c r="E72" s="120">
        <v>0.17359000000000002</v>
      </c>
      <c r="F72" s="115">
        <v>0.9535937180738161</v>
      </c>
      <c r="G72" s="120"/>
      <c r="H72" s="116">
        <f t="shared" si="0"/>
        <v>3.2978094532375296E-2</v>
      </c>
      <c r="I72" s="97">
        <f t="shared" si="1"/>
        <v>0.91972241418068945</v>
      </c>
      <c r="J72" s="98"/>
    </row>
    <row r="73" spans="1:10" s="119" customFormat="1" x14ac:dyDescent="0.3">
      <c r="A73" s="119">
        <v>1805</v>
      </c>
      <c r="B73" s="120">
        <v>8.9999999999999993E-3</v>
      </c>
      <c r="C73" s="120"/>
      <c r="D73" s="120">
        <v>0.27729599999999999</v>
      </c>
      <c r="E73" s="120">
        <v>0.17355999999999999</v>
      </c>
      <c r="F73" s="115">
        <v>0.16774111344672002</v>
      </c>
      <c r="G73" s="120"/>
      <c r="H73" s="116">
        <f t="shared" si="0"/>
        <v>3.2978094532375296E-2</v>
      </c>
      <c r="I73" s="97">
        <f t="shared" si="1"/>
        <v>0.95270050871306478</v>
      </c>
      <c r="J73" s="98"/>
    </row>
    <row r="74" spans="1:10" s="119" customFormat="1" x14ac:dyDescent="0.3">
      <c r="A74" s="119">
        <v>1806</v>
      </c>
      <c r="B74" s="120">
        <v>0.01</v>
      </c>
      <c r="C74" s="120"/>
      <c r="D74" s="120">
        <v>0.25334000000000001</v>
      </c>
      <c r="E74" s="120">
        <v>0.17350500000000002</v>
      </c>
      <c r="F74" s="115">
        <v>0.53665740147166086</v>
      </c>
      <c r="G74" s="120"/>
      <c r="H74" s="116">
        <f t="shared" si="0"/>
        <v>3.6642327258194773E-2</v>
      </c>
      <c r="I74" s="97">
        <f t="shared" si="1"/>
        <v>0.98934283597125949</v>
      </c>
      <c r="J74" s="98"/>
    </row>
    <row r="75" spans="1:10" s="119" customFormat="1" x14ac:dyDescent="0.3">
      <c r="A75" s="119">
        <v>1807</v>
      </c>
      <c r="B75" s="120">
        <v>0.01</v>
      </c>
      <c r="C75" s="120"/>
      <c r="D75" s="120">
        <v>0.22811200000000001</v>
      </c>
      <c r="E75" s="120">
        <v>0.17313499999999998</v>
      </c>
      <c r="F75" s="115">
        <v>0.65540688014403548</v>
      </c>
      <c r="G75" s="120"/>
      <c r="H75" s="116">
        <f t="shared" si="0"/>
        <v>3.6642327258194773E-2</v>
      </c>
      <c r="I75" s="97">
        <f t="shared" si="1"/>
        <v>1.0259851632294543</v>
      </c>
      <c r="J75" s="98"/>
    </row>
    <row r="76" spans="1:10" s="119" customFormat="1" x14ac:dyDescent="0.3">
      <c r="A76" s="119">
        <v>1808</v>
      </c>
      <c r="B76" s="120">
        <v>0.01</v>
      </c>
      <c r="C76" s="120"/>
      <c r="D76" s="120">
        <v>0.20182400000000003</v>
      </c>
      <c r="E76" s="120">
        <v>0.17294999999999999</v>
      </c>
      <c r="F76" s="115">
        <v>0.59307385406468982</v>
      </c>
      <c r="G76" s="120"/>
      <c r="H76" s="116">
        <f t="shared" si="0"/>
        <v>3.6642327258194773E-2</v>
      </c>
      <c r="I76" s="97">
        <f t="shared" si="1"/>
        <v>1.0626274904876492</v>
      </c>
      <c r="J76" s="98"/>
    </row>
    <row r="77" spans="1:10" s="119" customFormat="1" x14ac:dyDescent="0.3">
      <c r="A77" s="119">
        <v>1809</v>
      </c>
      <c r="B77" s="120">
        <v>0.01</v>
      </c>
      <c r="C77" s="120"/>
      <c r="D77" s="120">
        <v>0.174264</v>
      </c>
      <c r="E77" s="120">
        <v>0.17259000000000002</v>
      </c>
      <c r="F77" s="115">
        <v>0.37180730214524738</v>
      </c>
      <c r="G77" s="120"/>
      <c r="H77" s="116">
        <f t="shared" si="0"/>
        <v>3.6642327258194773E-2</v>
      </c>
      <c r="I77" s="97">
        <f t="shared" si="1"/>
        <v>1.099269817745844</v>
      </c>
      <c r="J77" s="98"/>
    </row>
    <row r="78" spans="1:10" s="119" customFormat="1" x14ac:dyDescent="0.3">
      <c r="A78" s="119">
        <v>1810</v>
      </c>
      <c r="B78" s="120">
        <v>0.01</v>
      </c>
      <c r="C78" s="120"/>
      <c r="D78" s="120">
        <v>0.145644</v>
      </c>
      <c r="E78" s="120">
        <v>0.17252000000000001</v>
      </c>
      <c r="F78" s="115">
        <v>0.53476482355818444</v>
      </c>
      <c r="G78" s="120"/>
      <c r="H78" s="116">
        <f t="shared" si="0"/>
        <v>3.6642327258194773E-2</v>
      </c>
      <c r="I78" s="97">
        <f t="shared" si="1"/>
        <v>1.1359121450040388</v>
      </c>
      <c r="J78" s="98"/>
    </row>
    <row r="79" spans="1:10" s="119" customFormat="1" x14ac:dyDescent="0.3">
      <c r="A79" s="119">
        <v>1811</v>
      </c>
      <c r="B79" s="120">
        <v>1.0999999999999999E-2</v>
      </c>
      <c r="C79" s="120"/>
      <c r="D79" s="120">
        <v>0.11575200000000001</v>
      </c>
      <c r="E79" s="120">
        <v>0.16692000000000001</v>
      </c>
      <c r="F79" s="115">
        <v>-0.12699797381029995</v>
      </c>
      <c r="G79" s="120"/>
      <c r="H79" s="116">
        <f t="shared" si="0"/>
        <v>4.0306559984014251E-2</v>
      </c>
      <c r="I79" s="97">
        <f t="shared" si="1"/>
        <v>1.176218704988053</v>
      </c>
      <c r="J79" s="98"/>
    </row>
    <row r="80" spans="1:10" s="119" customFormat="1" x14ac:dyDescent="0.3">
      <c r="A80" s="119">
        <v>1812</v>
      </c>
      <c r="B80" s="120">
        <v>1.0999999999999999E-2</v>
      </c>
      <c r="C80" s="120"/>
      <c r="D80" s="120">
        <v>8.48E-2</v>
      </c>
      <c r="E80" s="120">
        <v>0.16627</v>
      </c>
      <c r="F80" s="115">
        <v>3.9962172047225367E-2</v>
      </c>
      <c r="G80" s="120"/>
      <c r="H80" s="116">
        <f t="shared" si="0"/>
        <v>4.0306559984014251E-2</v>
      </c>
      <c r="I80" s="97">
        <f t="shared" si="1"/>
        <v>1.2165252649720673</v>
      </c>
      <c r="J80" s="98"/>
    </row>
    <row r="81" spans="1:10" s="119" customFormat="1" x14ac:dyDescent="0.3">
      <c r="A81" s="119">
        <v>1813</v>
      </c>
      <c r="B81" s="120">
        <v>1.0999999999999999E-2</v>
      </c>
      <c r="C81" s="120"/>
      <c r="D81" s="120">
        <v>5.2575999999999998E-2</v>
      </c>
      <c r="E81" s="120">
        <v>0.16573499999999999</v>
      </c>
      <c r="F81" s="115">
        <v>0.39148818037201588</v>
      </c>
      <c r="G81" s="120"/>
      <c r="H81" s="116">
        <f t="shared" si="0"/>
        <v>4.0306559984014251E-2</v>
      </c>
      <c r="I81" s="97">
        <f t="shared" si="1"/>
        <v>1.2568318249560815</v>
      </c>
      <c r="J81" s="98"/>
    </row>
    <row r="82" spans="1:10" s="119" customFormat="1" x14ac:dyDescent="0.3">
      <c r="A82" s="119">
        <v>1814</v>
      </c>
      <c r="B82" s="120">
        <v>1.0999999999999999E-2</v>
      </c>
      <c r="C82" s="120"/>
      <c r="D82" s="120">
        <v>1.9292000000000004E-2</v>
      </c>
      <c r="E82" s="120">
        <v>0.16021000000000002</v>
      </c>
      <c r="F82" s="115">
        <v>0.241896358355388</v>
      </c>
      <c r="G82" s="120"/>
      <c r="H82" s="116">
        <f t="shared" si="0"/>
        <v>4.0306559984014251E-2</v>
      </c>
      <c r="I82" s="97">
        <f t="shared" si="1"/>
        <v>1.2971383849400957</v>
      </c>
      <c r="J82" s="98"/>
    </row>
    <row r="83" spans="1:10" s="119" customFormat="1" x14ac:dyDescent="0.3">
      <c r="A83" s="119">
        <v>1815</v>
      </c>
      <c r="B83" s="120">
        <v>1.2E-2</v>
      </c>
      <c r="C83" s="120"/>
      <c r="D83" s="120">
        <v>-1.4628E-2</v>
      </c>
      <c r="E83" s="120">
        <v>0.15962999999999999</v>
      </c>
      <c r="F83" s="115">
        <v>0.34748671478894916</v>
      </c>
      <c r="G83" s="120"/>
      <c r="H83" s="116">
        <f t="shared" ref="H83:H146" si="2">(B83+C83)*44.01/12.0107</f>
        <v>4.3970792709833735E-2</v>
      </c>
      <c r="I83" s="97">
        <f t="shared" si="1"/>
        <v>1.3411091776499295</v>
      </c>
      <c r="J83" s="98"/>
    </row>
    <row r="84" spans="1:10" s="119" customFormat="1" x14ac:dyDescent="0.3">
      <c r="A84" s="119">
        <v>1816</v>
      </c>
      <c r="B84" s="120">
        <v>1.2999999999999999E-2</v>
      </c>
      <c r="C84" s="120"/>
      <c r="D84" s="120">
        <v>-4.4308E-2</v>
      </c>
      <c r="E84" s="120">
        <v>0.15875</v>
      </c>
      <c r="F84" s="115">
        <v>0.64106492486599842</v>
      </c>
      <c r="G84" s="120"/>
      <c r="H84" s="116">
        <f t="shared" si="2"/>
        <v>4.7635025435653205E-2</v>
      </c>
      <c r="I84" s="97">
        <f t="shared" ref="I84:I147" si="3">I83+H84</f>
        <v>1.3887442030855828</v>
      </c>
      <c r="J84" s="98"/>
    </row>
    <row r="85" spans="1:10" s="119" customFormat="1" x14ac:dyDescent="0.3">
      <c r="A85" s="119">
        <v>1817</v>
      </c>
      <c r="B85" s="120">
        <v>1.4E-2</v>
      </c>
      <c r="C85" s="120"/>
      <c r="D85" s="120">
        <v>-6.7627999999999994E-2</v>
      </c>
      <c r="E85" s="120">
        <v>0.15806000000000001</v>
      </c>
      <c r="F85" s="115">
        <v>0.86851711187459835</v>
      </c>
      <c r="G85" s="120"/>
      <c r="H85" s="116">
        <f t="shared" si="2"/>
        <v>5.129925816147269E-2</v>
      </c>
      <c r="I85" s="97">
        <f t="shared" si="3"/>
        <v>1.4400434612470554</v>
      </c>
      <c r="J85" s="98"/>
    </row>
    <row r="86" spans="1:10" s="119" customFormat="1" x14ac:dyDescent="0.3">
      <c r="A86" s="119">
        <v>1818</v>
      </c>
      <c r="B86" s="120">
        <v>1.4E-2</v>
      </c>
      <c r="C86" s="120"/>
      <c r="D86" s="120">
        <v>-8.48E-2</v>
      </c>
      <c r="E86" s="120">
        <v>0.15751000000000001</v>
      </c>
      <c r="F86" s="115">
        <v>0.3301378994001713</v>
      </c>
      <c r="G86" s="120"/>
      <c r="H86" s="116">
        <f t="shared" si="2"/>
        <v>5.129925816147269E-2</v>
      </c>
      <c r="I86" s="97">
        <f t="shared" si="3"/>
        <v>1.491342719408528</v>
      </c>
      <c r="J86" s="98"/>
    </row>
    <row r="87" spans="1:10" s="119" customFormat="1" x14ac:dyDescent="0.3">
      <c r="A87" s="119">
        <v>1819</v>
      </c>
      <c r="B87" s="120">
        <v>1.4E-2</v>
      </c>
      <c r="C87" s="120"/>
      <c r="D87" s="120">
        <v>-9.5612000000000003E-2</v>
      </c>
      <c r="E87" s="120">
        <v>0.15205000000000002</v>
      </c>
      <c r="F87" s="115">
        <v>-0.21822836369626797</v>
      </c>
      <c r="G87" s="120"/>
      <c r="H87" s="116">
        <f t="shared" si="2"/>
        <v>5.129925816147269E-2</v>
      </c>
      <c r="I87" s="97">
        <f t="shared" si="3"/>
        <v>1.5426419775700007</v>
      </c>
      <c r="J87" s="98"/>
    </row>
    <row r="88" spans="1:10" s="119" customFormat="1" x14ac:dyDescent="0.3">
      <c r="A88" s="119">
        <v>1820</v>
      </c>
      <c r="B88" s="120">
        <v>1.4E-2</v>
      </c>
      <c r="C88" s="120"/>
      <c r="D88" s="120">
        <v>-9.985200000000001E-2</v>
      </c>
      <c r="E88" s="120">
        <v>0.15117</v>
      </c>
      <c r="F88" s="115">
        <v>0.33381704968813392</v>
      </c>
      <c r="G88" s="120"/>
      <c r="H88" s="116">
        <f t="shared" si="2"/>
        <v>5.129925816147269E-2</v>
      </c>
      <c r="I88" s="97">
        <f t="shared" si="3"/>
        <v>1.5939412357314733</v>
      </c>
      <c r="J88" s="98"/>
    </row>
    <row r="89" spans="1:10" s="119" customFormat="1" x14ac:dyDescent="0.3">
      <c r="A89" s="119">
        <v>1821</v>
      </c>
      <c r="B89" s="120">
        <v>1.4E-2</v>
      </c>
      <c r="C89" s="120"/>
      <c r="D89" s="120">
        <v>-9.8156000000000007E-2</v>
      </c>
      <c r="E89" s="120">
        <v>0.15066000000000002</v>
      </c>
      <c r="F89" s="115">
        <v>-0.44593765766352311</v>
      </c>
      <c r="G89" s="120"/>
      <c r="H89" s="116">
        <f t="shared" si="2"/>
        <v>5.129925816147269E-2</v>
      </c>
      <c r="I89" s="97">
        <f t="shared" si="3"/>
        <v>1.6452404938929459</v>
      </c>
      <c r="J89" s="98"/>
    </row>
    <row r="90" spans="1:10" s="119" customFormat="1" x14ac:dyDescent="0.3">
      <c r="A90" s="119">
        <v>1822</v>
      </c>
      <c r="B90" s="120">
        <v>1.4999999999999999E-2</v>
      </c>
      <c r="C90" s="120"/>
      <c r="D90" s="120">
        <v>-8.988800000000001E-2</v>
      </c>
      <c r="E90" s="120">
        <v>0.14959500000000001</v>
      </c>
      <c r="F90" s="115">
        <v>-0.26417751738143569</v>
      </c>
      <c r="G90" s="120"/>
      <c r="H90" s="116">
        <f t="shared" si="2"/>
        <v>5.496349088729216E-2</v>
      </c>
      <c r="I90" s="97">
        <f t="shared" si="3"/>
        <v>1.7002039847802382</v>
      </c>
      <c r="J90" s="98"/>
    </row>
    <row r="91" spans="1:10" s="119" customFormat="1" x14ac:dyDescent="0.3">
      <c r="A91" s="119">
        <v>1823</v>
      </c>
      <c r="B91" s="120">
        <v>1.6E-2</v>
      </c>
      <c r="C91" s="120"/>
      <c r="D91" s="120">
        <v>-7.5259999999999994E-2</v>
      </c>
      <c r="E91" s="120">
        <v>0.14404499999999998</v>
      </c>
      <c r="F91" s="115">
        <v>0.52742964202328424</v>
      </c>
      <c r="G91" s="120"/>
      <c r="H91" s="116">
        <f t="shared" si="2"/>
        <v>5.8627723613111644E-2</v>
      </c>
      <c r="I91" s="97">
        <f t="shared" si="3"/>
        <v>1.7588317083933498</v>
      </c>
      <c r="J91" s="98"/>
    </row>
    <row r="92" spans="1:10" s="119" customFormat="1" x14ac:dyDescent="0.3">
      <c r="A92" s="119">
        <v>1824</v>
      </c>
      <c r="B92" s="120">
        <v>1.6E-2</v>
      </c>
      <c r="C92" s="120"/>
      <c r="D92" s="120">
        <v>-5.4484000000000005E-2</v>
      </c>
      <c r="E92" s="120">
        <v>0.14338000000000001</v>
      </c>
      <c r="F92" s="115">
        <v>0.73469848699060247</v>
      </c>
      <c r="G92" s="120"/>
      <c r="H92" s="116">
        <f t="shared" si="2"/>
        <v>5.8627723613111644E-2</v>
      </c>
      <c r="I92" s="97">
        <f t="shared" si="3"/>
        <v>1.8174594320064614</v>
      </c>
      <c r="J92" s="98"/>
    </row>
    <row r="93" spans="1:10" s="119" customFormat="1" x14ac:dyDescent="0.3">
      <c r="A93" s="119">
        <v>1825</v>
      </c>
      <c r="B93" s="120">
        <v>1.7000000000000001E-2</v>
      </c>
      <c r="C93" s="120"/>
      <c r="D93" s="120">
        <v>-2.7348000000000001E-2</v>
      </c>
      <c r="E93" s="120">
        <v>0.14237</v>
      </c>
      <c r="F93" s="115">
        <v>0.11774683657908017</v>
      </c>
      <c r="G93" s="120"/>
      <c r="H93" s="116">
        <f t="shared" si="2"/>
        <v>6.2291956338931122E-2</v>
      </c>
      <c r="I93" s="97">
        <f t="shared" si="3"/>
        <v>1.8797513883453925</v>
      </c>
      <c r="J93" s="98"/>
    </row>
    <row r="94" spans="1:10" s="119" customFormat="1" x14ac:dyDescent="0.3">
      <c r="A94" s="119">
        <v>1826</v>
      </c>
      <c r="B94" s="120">
        <v>1.7000000000000001E-2</v>
      </c>
      <c r="C94" s="120"/>
      <c r="D94" s="120">
        <v>6.1479999999999998E-3</v>
      </c>
      <c r="E94" s="120">
        <v>0.14152999999999999</v>
      </c>
      <c r="F94" s="115">
        <v>0.42176239958596384</v>
      </c>
      <c r="G94" s="120"/>
      <c r="H94" s="116">
        <f t="shared" si="2"/>
        <v>6.2291956338931122E-2</v>
      </c>
      <c r="I94" s="97">
        <f t="shared" si="3"/>
        <v>1.9420433446843235</v>
      </c>
      <c r="J94" s="98"/>
    </row>
    <row r="95" spans="1:10" s="119" customFormat="1" x14ac:dyDescent="0.3">
      <c r="A95" s="119">
        <v>1827</v>
      </c>
      <c r="B95" s="120">
        <v>1.7999999999999999E-2</v>
      </c>
      <c r="C95" s="120"/>
      <c r="D95" s="120">
        <v>4.3248000000000009E-2</v>
      </c>
      <c r="E95" s="120">
        <v>0.14079999999999998</v>
      </c>
      <c r="F95" s="115">
        <v>0.54009602899432174</v>
      </c>
      <c r="G95" s="120"/>
      <c r="H95" s="116">
        <f t="shared" si="2"/>
        <v>6.5956189064750592E-2</v>
      </c>
      <c r="I95" s="97">
        <f t="shared" si="3"/>
        <v>2.0079995337490741</v>
      </c>
      <c r="J95" s="98"/>
    </row>
    <row r="96" spans="1:10" s="119" customFormat="1" x14ac:dyDescent="0.3">
      <c r="A96" s="119">
        <v>1828</v>
      </c>
      <c r="B96" s="120">
        <v>1.7999999999999999E-2</v>
      </c>
      <c r="C96" s="120"/>
      <c r="D96" s="120">
        <v>6.8264000000000005E-2</v>
      </c>
      <c r="E96" s="120">
        <v>0.14014499999999999</v>
      </c>
      <c r="F96" s="115">
        <v>0.51655821045366368</v>
      </c>
      <c r="G96" s="120"/>
      <c r="H96" s="116">
        <f t="shared" si="2"/>
        <v>6.5956189064750592E-2</v>
      </c>
      <c r="I96" s="97">
        <f t="shared" si="3"/>
        <v>2.0739557228138246</v>
      </c>
      <c r="J96" s="98"/>
    </row>
    <row r="97" spans="1:10" s="119" customFormat="1" x14ac:dyDescent="0.3">
      <c r="A97" s="119">
        <v>1829</v>
      </c>
      <c r="B97" s="120">
        <v>1.7999999999999999E-2</v>
      </c>
      <c r="C97" s="120"/>
      <c r="D97" s="120">
        <v>8.8192000000000006E-2</v>
      </c>
      <c r="E97" s="120">
        <v>0.13505</v>
      </c>
      <c r="F97" s="115">
        <v>0.1937970638748025</v>
      </c>
      <c r="G97" s="120"/>
      <c r="H97" s="116">
        <f t="shared" si="2"/>
        <v>6.5956189064750592E-2</v>
      </c>
      <c r="I97" s="97">
        <f t="shared" si="3"/>
        <v>2.139911911878575</v>
      </c>
      <c r="J97" s="98"/>
    </row>
    <row r="98" spans="1:10" s="119" customFormat="1" x14ac:dyDescent="0.3">
      <c r="A98" s="119">
        <v>1830</v>
      </c>
      <c r="B98" s="120">
        <v>2.4E-2</v>
      </c>
      <c r="C98" s="120"/>
      <c r="D98" s="120">
        <v>0.106424</v>
      </c>
      <c r="E98" s="120">
        <v>0.13455</v>
      </c>
      <c r="F98" s="115">
        <v>0.37021916758094775</v>
      </c>
      <c r="G98" s="120"/>
      <c r="H98" s="116">
        <f t="shared" si="2"/>
        <v>8.794158541966747E-2</v>
      </c>
      <c r="I98" s="97">
        <f t="shared" si="3"/>
        <v>2.2278534972982427</v>
      </c>
      <c r="J98" s="98"/>
    </row>
    <row r="99" spans="1:10" s="119" customFormat="1" x14ac:dyDescent="0.3">
      <c r="A99" s="119">
        <v>1831</v>
      </c>
      <c r="B99" s="120">
        <v>2.3E-2</v>
      </c>
      <c r="C99" s="120"/>
      <c r="D99" s="120">
        <v>0.122324</v>
      </c>
      <c r="E99" s="120">
        <v>0.13400000000000001</v>
      </c>
      <c r="F99" s="115">
        <v>-9.4052967980219671E-2</v>
      </c>
      <c r="G99" s="120"/>
      <c r="H99" s="116">
        <f t="shared" si="2"/>
        <v>8.4277352693847979E-2</v>
      </c>
      <c r="I99" s="97">
        <f t="shared" si="3"/>
        <v>2.3121308499920907</v>
      </c>
      <c r="J99" s="98"/>
    </row>
    <row r="100" spans="1:10" s="119" customFormat="1" x14ac:dyDescent="0.3">
      <c r="A100" s="119">
        <v>1832</v>
      </c>
      <c r="B100" s="120">
        <v>2.3E-2</v>
      </c>
      <c r="C100" s="120"/>
      <c r="D100" s="120">
        <v>0.13652800000000001</v>
      </c>
      <c r="E100" s="120">
        <v>0.13352</v>
      </c>
      <c r="F100" s="115">
        <v>2.7627405514337042E-2</v>
      </c>
      <c r="G100" s="120"/>
      <c r="H100" s="116">
        <f t="shared" si="2"/>
        <v>8.4277352693847979E-2</v>
      </c>
      <c r="I100" s="97">
        <f t="shared" si="3"/>
        <v>2.3964082026859388</v>
      </c>
      <c r="J100" s="98"/>
    </row>
    <row r="101" spans="1:10" s="119" customFormat="1" x14ac:dyDescent="0.3">
      <c r="A101" s="119">
        <v>1833</v>
      </c>
      <c r="B101" s="120">
        <v>2.4E-2</v>
      </c>
      <c r="C101" s="120"/>
      <c r="D101" s="120">
        <v>0.14861199999999999</v>
      </c>
      <c r="E101" s="120">
        <v>0.13358</v>
      </c>
      <c r="F101" s="115">
        <v>0.24997898992722167</v>
      </c>
      <c r="G101" s="120"/>
      <c r="H101" s="116">
        <f t="shared" si="2"/>
        <v>8.794158541966747E-2</v>
      </c>
      <c r="I101" s="97">
        <f t="shared" si="3"/>
        <v>2.4843497881056065</v>
      </c>
      <c r="J101" s="98"/>
    </row>
    <row r="102" spans="1:10" s="119" customFormat="1" x14ac:dyDescent="0.3">
      <c r="A102" s="119">
        <v>1834</v>
      </c>
      <c r="B102" s="120">
        <v>2.4E-2</v>
      </c>
      <c r="C102" s="120"/>
      <c r="D102" s="120">
        <v>0.16048400000000002</v>
      </c>
      <c r="E102" s="120">
        <v>0.13370000000000001</v>
      </c>
      <c r="F102" s="115">
        <v>7.2798430745316944E-3</v>
      </c>
      <c r="G102" s="120"/>
      <c r="H102" s="116">
        <f t="shared" si="2"/>
        <v>8.794158541966747E-2</v>
      </c>
      <c r="I102" s="97">
        <f t="shared" si="3"/>
        <v>2.5722913735252741</v>
      </c>
      <c r="J102" s="98"/>
    </row>
    <row r="103" spans="1:10" s="119" customFormat="1" x14ac:dyDescent="0.3">
      <c r="A103" s="119">
        <v>1835</v>
      </c>
      <c r="B103" s="120">
        <v>2.5000000000000001E-2</v>
      </c>
      <c r="C103" s="120"/>
      <c r="D103" s="120">
        <v>0.17935200000000001</v>
      </c>
      <c r="E103" s="120">
        <v>0.13397500000000001</v>
      </c>
      <c r="F103" s="115">
        <v>0.28502300471272624</v>
      </c>
      <c r="G103" s="120"/>
      <c r="H103" s="116">
        <f t="shared" si="2"/>
        <v>9.1605818145486934E-2</v>
      </c>
      <c r="I103" s="97">
        <f t="shared" si="3"/>
        <v>2.663897191670761</v>
      </c>
      <c r="J103" s="98"/>
    </row>
    <row r="104" spans="1:10" s="119" customFormat="1" x14ac:dyDescent="0.3">
      <c r="A104" s="119">
        <v>1836</v>
      </c>
      <c r="B104" s="120">
        <v>2.9000000000000001E-2</v>
      </c>
      <c r="C104" s="120"/>
      <c r="D104" s="120">
        <v>0.205428</v>
      </c>
      <c r="E104" s="120">
        <v>0.13411999999999999</v>
      </c>
      <c r="F104" s="115">
        <v>0.60869682194774477</v>
      </c>
      <c r="G104" s="120"/>
      <c r="H104" s="116">
        <f t="shared" si="2"/>
        <v>0.10626274904876484</v>
      </c>
      <c r="I104" s="97">
        <f t="shared" si="3"/>
        <v>2.7701599407195259</v>
      </c>
      <c r="J104" s="98"/>
    </row>
    <row r="105" spans="1:10" s="119" customFormat="1" x14ac:dyDescent="0.3">
      <c r="A105" s="119">
        <v>1837</v>
      </c>
      <c r="B105" s="120">
        <v>2.9000000000000001E-2</v>
      </c>
      <c r="C105" s="120"/>
      <c r="D105" s="120">
        <v>0.237016</v>
      </c>
      <c r="E105" s="120">
        <v>0.134745</v>
      </c>
      <c r="F105" s="115">
        <v>0.80006931955499139</v>
      </c>
      <c r="G105" s="120"/>
      <c r="H105" s="116">
        <f t="shared" si="2"/>
        <v>0.10626274904876484</v>
      </c>
      <c r="I105" s="97">
        <f t="shared" si="3"/>
        <v>2.8764226897682907</v>
      </c>
      <c r="J105" s="98"/>
    </row>
    <row r="106" spans="1:10" s="119" customFormat="1" x14ac:dyDescent="0.3">
      <c r="A106" s="119">
        <v>1838</v>
      </c>
      <c r="B106" s="120">
        <v>0.03</v>
      </c>
      <c r="C106" s="120"/>
      <c r="D106" s="120">
        <v>0.27411600000000003</v>
      </c>
      <c r="E106" s="120">
        <v>0.13561000000000001</v>
      </c>
      <c r="F106" s="115">
        <v>0.278466312865501</v>
      </c>
      <c r="G106" s="120"/>
      <c r="H106" s="116">
        <f t="shared" si="2"/>
        <v>0.10992698177458432</v>
      </c>
      <c r="I106" s="97">
        <f t="shared" si="3"/>
        <v>2.9863496715428752</v>
      </c>
      <c r="J106" s="98"/>
    </row>
    <row r="107" spans="1:10" s="119" customFormat="1" x14ac:dyDescent="0.3">
      <c r="A107" s="119">
        <v>1839</v>
      </c>
      <c r="B107" s="120">
        <v>3.1E-2</v>
      </c>
      <c r="C107" s="120"/>
      <c r="D107" s="120">
        <v>0.31609200000000004</v>
      </c>
      <c r="E107" s="120">
        <v>0.13653499999999999</v>
      </c>
      <c r="F107" s="115">
        <v>-0.15412540072047062</v>
      </c>
      <c r="G107" s="120"/>
      <c r="H107" s="116">
        <f t="shared" si="2"/>
        <v>0.1135912145004038</v>
      </c>
      <c r="I107" s="97">
        <f t="shared" si="3"/>
        <v>3.0999408860432789</v>
      </c>
      <c r="J107" s="98"/>
    </row>
    <row r="108" spans="1:10" s="119" customFormat="1" x14ac:dyDescent="0.3">
      <c r="A108" s="119">
        <v>1840</v>
      </c>
      <c r="B108" s="120">
        <v>3.3000000000000002E-2</v>
      </c>
      <c r="C108" s="120"/>
      <c r="D108" s="120">
        <v>0.36124800000000001</v>
      </c>
      <c r="E108" s="120">
        <v>0.13286500000000001</v>
      </c>
      <c r="F108" s="115">
        <v>0.36400102070191365</v>
      </c>
      <c r="G108" s="120"/>
      <c r="H108" s="116">
        <f t="shared" si="2"/>
        <v>0.12091967995204275</v>
      </c>
      <c r="I108" s="97">
        <f t="shared" si="3"/>
        <v>3.2208605659953218</v>
      </c>
      <c r="J108" s="98"/>
    </row>
    <row r="109" spans="1:10" s="119" customFormat="1" x14ac:dyDescent="0.3">
      <c r="A109" s="119">
        <v>1841</v>
      </c>
      <c r="B109" s="120">
        <v>3.4000000000000002E-2</v>
      </c>
      <c r="C109" s="120"/>
      <c r="D109" s="120">
        <v>0.40894799999999998</v>
      </c>
      <c r="E109" s="120">
        <v>0.13897000000000001</v>
      </c>
      <c r="F109" s="115">
        <v>-0.36474594104620778</v>
      </c>
      <c r="G109" s="120"/>
      <c r="H109" s="116">
        <f t="shared" si="2"/>
        <v>0.12458391267786224</v>
      </c>
      <c r="I109" s="97">
        <f t="shared" si="3"/>
        <v>3.3454444786731838</v>
      </c>
      <c r="J109" s="98"/>
    </row>
    <row r="110" spans="1:10" s="119" customFormat="1" x14ac:dyDescent="0.3">
      <c r="A110" s="119">
        <v>1842</v>
      </c>
      <c r="B110" s="120">
        <v>3.5999999999999997E-2</v>
      </c>
      <c r="C110" s="120"/>
      <c r="D110" s="120">
        <v>0.45452800000000004</v>
      </c>
      <c r="E110" s="120">
        <v>0.14042499999999999</v>
      </c>
      <c r="F110" s="115">
        <v>-0.38089968114159484</v>
      </c>
      <c r="G110" s="120"/>
      <c r="H110" s="116">
        <f t="shared" si="2"/>
        <v>0.13191237812950118</v>
      </c>
      <c r="I110" s="97">
        <f t="shared" si="3"/>
        <v>3.4773568568026851</v>
      </c>
      <c r="J110" s="98"/>
    </row>
    <row r="111" spans="1:10" s="119" customFormat="1" x14ac:dyDescent="0.3">
      <c r="A111" s="119">
        <v>1843</v>
      </c>
      <c r="B111" s="120">
        <v>3.6999999999999998E-2</v>
      </c>
      <c r="C111" s="120"/>
      <c r="D111" s="120">
        <v>0.47954400000000003</v>
      </c>
      <c r="E111" s="120">
        <v>0.14147000000000001</v>
      </c>
      <c r="F111" s="115">
        <v>0.78831438413207533</v>
      </c>
      <c r="G111" s="120"/>
      <c r="H111" s="116">
        <f t="shared" si="2"/>
        <v>0.13557661085532066</v>
      </c>
      <c r="I111" s="97">
        <f t="shared" si="3"/>
        <v>3.6129334676580056</v>
      </c>
      <c r="J111" s="98"/>
    </row>
    <row r="112" spans="1:10" s="119" customFormat="1" x14ac:dyDescent="0.3">
      <c r="A112" s="119">
        <v>1844</v>
      </c>
      <c r="B112" s="120">
        <v>3.9E-2</v>
      </c>
      <c r="C112" s="120"/>
      <c r="D112" s="120">
        <v>0.47933200000000004</v>
      </c>
      <c r="E112" s="120">
        <v>0.14274000000000001</v>
      </c>
      <c r="F112" s="115">
        <v>0.86356995917325285</v>
      </c>
      <c r="G112" s="120"/>
      <c r="H112" s="116">
        <f t="shared" si="2"/>
        <v>0.14290507630695962</v>
      </c>
      <c r="I112" s="97">
        <f t="shared" si="3"/>
        <v>3.7558385439649653</v>
      </c>
      <c r="J112" s="98"/>
    </row>
    <row r="113" spans="1:10" s="119" customFormat="1" x14ac:dyDescent="0.3">
      <c r="A113" s="119">
        <v>1845</v>
      </c>
      <c r="B113" s="120">
        <v>4.2999999999999997E-2</v>
      </c>
      <c r="C113" s="120"/>
      <c r="D113" s="120">
        <v>0.45643600000000001</v>
      </c>
      <c r="E113" s="120">
        <v>0.14418</v>
      </c>
      <c r="F113" s="115">
        <v>0.1595354859577546</v>
      </c>
      <c r="G113" s="120"/>
      <c r="H113" s="116">
        <f t="shared" si="2"/>
        <v>0.15756200721023753</v>
      </c>
      <c r="I113" s="97">
        <f t="shared" si="3"/>
        <v>3.913400551175203</v>
      </c>
      <c r="J113" s="98"/>
    </row>
    <row r="114" spans="1:10" s="119" customFormat="1" x14ac:dyDescent="0.3">
      <c r="A114" s="119">
        <v>1846</v>
      </c>
      <c r="B114" s="120">
        <v>4.2999999999999997E-2</v>
      </c>
      <c r="C114" s="120"/>
      <c r="D114" s="120">
        <v>0.42145600000000005</v>
      </c>
      <c r="E114" s="120">
        <v>0.15013500000000002</v>
      </c>
      <c r="F114" s="115">
        <v>0.41573604801060388</v>
      </c>
      <c r="G114" s="120"/>
      <c r="H114" s="116">
        <f t="shared" si="2"/>
        <v>0.15756200721023753</v>
      </c>
      <c r="I114" s="97">
        <f t="shared" si="3"/>
        <v>4.0709625583854407</v>
      </c>
      <c r="J114" s="98"/>
    </row>
    <row r="115" spans="1:10" s="119" customFormat="1" x14ac:dyDescent="0.3">
      <c r="A115" s="119">
        <v>1847</v>
      </c>
      <c r="B115" s="120">
        <v>4.5999999999999999E-2</v>
      </c>
      <c r="C115" s="120"/>
      <c r="D115" s="120">
        <v>0.37693600000000005</v>
      </c>
      <c r="E115" s="120">
        <v>0.15123</v>
      </c>
      <c r="F115" s="115">
        <v>0.61380449994536102</v>
      </c>
      <c r="G115" s="120"/>
      <c r="H115" s="116">
        <f t="shared" si="2"/>
        <v>0.16855470538769596</v>
      </c>
      <c r="I115" s="97">
        <f t="shared" si="3"/>
        <v>4.2395172637731369</v>
      </c>
      <c r="J115" s="98"/>
    </row>
    <row r="116" spans="1:10" s="119" customFormat="1" x14ac:dyDescent="0.3">
      <c r="A116" s="119">
        <v>1848</v>
      </c>
      <c r="B116" s="120">
        <v>4.7E-2</v>
      </c>
      <c r="C116" s="120"/>
      <c r="D116" s="120">
        <v>0.32308800000000004</v>
      </c>
      <c r="E116" s="120">
        <v>0.15720000000000001</v>
      </c>
      <c r="F116" s="115">
        <v>0.6398677696051277</v>
      </c>
      <c r="G116" s="120"/>
      <c r="H116" s="116">
        <f t="shared" si="2"/>
        <v>0.17221893811351546</v>
      </c>
      <c r="I116" s="97">
        <f t="shared" si="3"/>
        <v>4.4117362018866526</v>
      </c>
      <c r="J116" s="98"/>
    </row>
    <row r="117" spans="1:10" s="119" customFormat="1" x14ac:dyDescent="0.3">
      <c r="A117" s="119">
        <v>1849</v>
      </c>
      <c r="B117" s="120">
        <v>0.05</v>
      </c>
      <c r="C117" s="120"/>
      <c r="D117" s="120">
        <v>0.25927600000000001</v>
      </c>
      <c r="E117" s="120">
        <v>0.15831000000000001</v>
      </c>
      <c r="F117" s="115">
        <v>0.27189248396680576</v>
      </c>
      <c r="G117" s="120"/>
      <c r="H117" s="116">
        <f t="shared" si="2"/>
        <v>0.18321163629097387</v>
      </c>
      <c r="I117" s="97">
        <f t="shared" si="3"/>
        <v>4.5949478381776263</v>
      </c>
      <c r="J117" s="98"/>
    </row>
    <row r="118" spans="1:10" s="119" customFormat="1" x14ac:dyDescent="0.3">
      <c r="A118" s="119">
        <v>1850</v>
      </c>
      <c r="B118" s="120">
        <v>5.3999999999999999E-2</v>
      </c>
      <c r="C118" s="115">
        <v>0.68781240929031373</v>
      </c>
      <c r="D118" s="120">
        <v>0.18868000000000001</v>
      </c>
      <c r="E118" s="120">
        <v>0.16419500000000001</v>
      </c>
      <c r="F118" s="115">
        <v>0.3917768473032171</v>
      </c>
      <c r="G118" s="120">
        <v>-2.8394380129032615E-3</v>
      </c>
      <c r="H118" s="116">
        <f t="shared" si="2"/>
        <v>2.7181733065405602</v>
      </c>
      <c r="I118" s="97">
        <f t="shared" si="3"/>
        <v>7.3131211447181865</v>
      </c>
      <c r="J118" s="98"/>
    </row>
    <row r="119" spans="1:10" s="119" customFormat="1" x14ac:dyDescent="0.3">
      <c r="A119" s="119">
        <v>1851</v>
      </c>
      <c r="B119" s="120">
        <v>5.3999999999999999E-2</v>
      </c>
      <c r="C119" s="115">
        <v>0.69178289638137813</v>
      </c>
      <c r="D119" s="120">
        <v>0.125504</v>
      </c>
      <c r="E119" s="120">
        <v>0.16548499999999999</v>
      </c>
      <c r="F119" s="115">
        <v>-9.4294819226233006E-2</v>
      </c>
      <c r="G119" s="120">
        <v>0.54908871560761119</v>
      </c>
      <c r="H119" s="116">
        <f t="shared" si="2"/>
        <v>2.7327220952770825</v>
      </c>
      <c r="I119" s="97">
        <f t="shared" si="3"/>
        <v>10.04584323999527</v>
      </c>
      <c r="J119" s="98"/>
    </row>
    <row r="120" spans="1:10" s="119" customFormat="1" x14ac:dyDescent="0.3">
      <c r="A120" s="119">
        <v>1852</v>
      </c>
      <c r="B120" s="120">
        <v>5.7000000000000002E-2</v>
      </c>
      <c r="C120" s="115">
        <v>0.69671106082153322</v>
      </c>
      <c r="D120" s="120">
        <v>6.9536000000000014E-2</v>
      </c>
      <c r="E120" s="120">
        <v>0.17164499999999999</v>
      </c>
      <c r="F120" s="115">
        <v>0.11448171811172997</v>
      </c>
      <c r="G120" s="120">
        <v>0.39804834270980333</v>
      </c>
      <c r="H120" s="116">
        <f t="shared" si="2"/>
        <v>2.7617727348743766</v>
      </c>
      <c r="I120" s="97">
        <f t="shared" si="3"/>
        <v>12.807615974869647</v>
      </c>
      <c r="J120" s="98"/>
    </row>
    <row r="121" spans="1:10" s="119" customFormat="1" x14ac:dyDescent="0.3">
      <c r="A121" s="119">
        <v>1853</v>
      </c>
      <c r="B121" s="120">
        <v>5.8999999999999997E-2</v>
      </c>
      <c r="C121" s="115">
        <v>0.7019043304576873</v>
      </c>
      <c r="D121" s="120">
        <v>9.5399999999999999E-3</v>
      </c>
      <c r="E121" s="120">
        <v>0.172905</v>
      </c>
      <c r="F121" s="115">
        <v>0.22279549862176606</v>
      </c>
      <c r="G121" s="120">
        <v>0.35566383183592121</v>
      </c>
      <c r="H121" s="116">
        <f t="shared" si="2"/>
        <v>2.7881305488808161</v>
      </c>
      <c r="I121" s="97">
        <f t="shared" si="3"/>
        <v>15.595746523750464</v>
      </c>
      <c r="J121" s="98"/>
    </row>
    <row r="122" spans="1:10" s="119" customFormat="1" x14ac:dyDescent="0.3">
      <c r="A122" s="119">
        <v>1854</v>
      </c>
      <c r="B122" s="120">
        <v>6.9000000000000006E-2</v>
      </c>
      <c r="C122" s="115">
        <v>0.70465806174659729</v>
      </c>
      <c r="D122" s="120">
        <v>-3.8796000000000004E-2</v>
      </c>
      <c r="E122" s="120">
        <v>0.17432</v>
      </c>
      <c r="F122" s="115">
        <v>0.23673649569122851</v>
      </c>
      <c r="G122" s="120">
        <v>0.40139756605536886</v>
      </c>
      <c r="H122" s="116">
        <f t="shared" si="2"/>
        <v>2.8348631884459481</v>
      </c>
      <c r="I122" s="97">
        <f t="shared" si="3"/>
        <v>18.430609712196411</v>
      </c>
      <c r="J122" s="98"/>
    </row>
    <row r="123" spans="1:10" s="119" customFormat="1" x14ac:dyDescent="0.3">
      <c r="A123" s="119">
        <v>1855</v>
      </c>
      <c r="B123" s="120">
        <v>7.0999999999999994E-2</v>
      </c>
      <c r="C123" s="115">
        <v>0.70670701770019528</v>
      </c>
      <c r="D123" s="120">
        <v>-6.3388E-2</v>
      </c>
      <c r="E123" s="120">
        <v>0.18082999999999999</v>
      </c>
      <c r="F123" s="115">
        <v>0.30552091053825076</v>
      </c>
      <c r="G123" s="120">
        <v>0.35474410716194443</v>
      </c>
      <c r="H123" s="116">
        <f t="shared" si="2"/>
        <v>2.8496995053565231</v>
      </c>
      <c r="I123" s="97">
        <f t="shared" si="3"/>
        <v>21.280309217552933</v>
      </c>
      <c r="J123" s="98"/>
    </row>
    <row r="124" spans="1:10" s="119" customFormat="1" x14ac:dyDescent="0.3">
      <c r="A124" s="119">
        <v>1856</v>
      </c>
      <c r="B124" s="120">
        <v>7.5999999999999998E-2</v>
      </c>
      <c r="C124" s="115">
        <v>0.71075637292099003</v>
      </c>
      <c r="D124" s="120">
        <v>-6.317600000000001E-2</v>
      </c>
      <c r="E124" s="120">
        <v>0.18226999999999999</v>
      </c>
      <c r="F124" s="115">
        <v>0.60486183056746934</v>
      </c>
      <c r="G124" s="120">
        <v>6.2800542353520727E-2</v>
      </c>
      <c r="H124" s="116">
        <f t="shared" si="2"/>
        <v>2.8828584489041247</v>
      </c>
      <c r="I124" s="97">
        <f t="shared" si="3"/>
        <v>24.163167666457056</v>
      </c>
      <c r="J124" s="98"/>
    </row>
    <row r="125" spans="1:10" s="119" customFormat="1" x14ac:dyDescent="0.3">
      <c r="A125" s="119">
        <v>1857</v>
      </c>
      <c r="B125" s="120">
        <v>7.6999999999999999E-2</v>
      </c>
      <c r="C125" s="115">
        <v>0.71740147451210023</v>
      </c>
      <c r="D125" s="120">
        <v>-5.2788000000000002E-2</v>
      </c>
      <c r="E125" s="120">
        <v>0.18896000000000002</v>
      </c>
      <c r="F125" s="115">
        <v>0.87493704013267659</v>
      </c>
      <c r="G125" s="120">
        <v>-0.21670756562057636</v>
      </c>
      <c r="H125" s="116">
        <f t="shared" si="2"/>
        <v>2.9108718803464853</v>
      </c>
      <c r="I125" s="97">
        <f t="shared" si="3"/>
        <v>27.07403954680354</v>
      </c>
      <c r="J125" s="98"/>
    </row>
    <row r="126" spans="1:10" s="119" customFormat="1" x14ac:dyDescent="0.3">
      <c r="A126" s="119">
        <v>1858</v>
      </c>
      <c r="B126" s="120">
        <v>7.8E-2</v>
      </c>
      <c r="C126" s="115">
        <v>0.72289586195945743</v>
      </c>
      <c r="D126" s="120">
        <v>-3.6252000000000006E-2</v>
      </c>
      <c r="E126" s="120">
        <v>0.19561000000000001</v>
      </c>
      <c r="F126" s="115">
        <v>0.43579720008416767</v>
      </c>
      <c r="G126" s="120">
        <v>0.20574066187528972</v>
      </c>
      <c r="H126" s="116">
        <f t="shared" si="2"/>
        <v>2.9346688273652424</v>
      </c>
      <c r="I126" s="97">
        <f t="shared" si="3"/>
        <v>30.008708374168783</v>
      </c>
      <c r="J126" s="98"/>
    </row>
    <row r="127" spans="1:10" s="119" customFormat="1" x14ac:dyDescent="0.3">
      <c r="A127" s="119">
        <v>1859</v>
      </c>
      <c r="B127" s="120">
        <v>8.3000000000000004E-2</v>
      </c>
      <c r="C127" s="115">
        <v>0.72572972885894771</v>
      </c>
      <c r="D127" s="120">
        <v>-1.3780000000000001E-2</v>
      </c>
      <c r="E127" s="120">
        <v>0.1976</v>
      </c>
      <c r="F127" s="115">
        <v>-0.15380881028119259</v>
      </c>
      <c r="G127" s="120">
        <v>0.77871853914014033</v>
      </c>
      <c r="H127" s="116">
        <f t="shared" si="2"/>
        <v>2.9633739388280684</v>
      </c>
      <c r="I127" s="97">
        <f t="shared" si="3"/>
        <v>32.972082312996854</v>
      </c>
      <c r="J127" s="98"/>
    </row>
    <row r="128" spans="1:10" s="119" customFormat="1" x14ac:dyDescent="0.3">
      <c r="A128" s="119">
        <v>1860</v>
      </c>
      <c r="B128" s="120">
        <v>9.0999999999999998E-2</v>
      </c>
      <c r="C128" s="115">
        <v>0.69642744483566288</v>
      </c>
      <c r="D128" s="120">
        <v>1.4840000000000001E-2</v>
      </c>
      <c r="E128" s="120">
        <v>0.19967000000000001</v>
      </c>
      <c r="F128" s="115">
        <v>0.2920067246468615</v>
      </c>
      <c r="G128" s="120">
        <v>0.28091072018880137</v>
      </c>
      <c r="H128" s="116">
        <f t="shared" si="2"/>
        <v>2.885317412575247</v>
      </c>
      <c r="I128" s="97">
        <f t="shared" si="3"/>
        <v>35.857399725572101</v>
      </c>
      <c r="J128" s="98"/>
    </row>
    <row r="129" spans="1:10" s="119" customFormat="1" x14ac:dyDescent="0.3">
      <c r="A129" s="119">
        <v>1861</v>
      </c>
      <c r="B129" s="120">
        <v>9.5000000000000001E-2</v>
      </c>
      <c r="C129" s="115">
        <v>0.68701724052619939</v>
      </c>
      <c r="D129" s="120">
        <v>5.0880000000000002E-2</v>
      </c>
      <c r="E129" s="120">
        <v>0.20696500000000001</v>
      </c>
      <c r="F129" s="115">
        <v>-0.38862434065407875</v>
      </c>
      <c r="G129" s="120">
        <v>0.91279658118027807</v>
      </c>
      <c r="H129" s="116">
        <f t="shared" si="2"/>
        <v>2.8654931648911415</v>
      </c>
      <c r="I129" s="97">
        <f t="shared" si="3"/>
        <v>38.722892890463243</v>
      </c>
      <c r="J129" s="98"/>
    </row>
    <row r="130" spans="1:10" s="119" customFormat="1" x14ac:dyDescent="0.3">
      <c r="A130" s="119">
        <v>1862</v>
      </c>
      <c r="B130" s="120">
        <v>9.7000000000000003E-2</v>
      </c>
      <c r="C130" s="115">
        <v>0.68286627877616879</v>
      </c>
      <c r="D130" s="120">
        <v>9.4552000000000011E-2</v>
      </c>
      <c r="E130" s="120">
        <v>0.21901500000000002</v>
      </c>
      <c r="F130" s="115">
        <v>-0.31111257306520063</v>
      </c>
      <c r="G130" s="120">
        <v>0.77741185184136941</v>
      </c>
      <c r="H130" s="116">
        <f t="shared" si="2"/>
        <v>2.8576115404546933</v>
      </c>
      <c r="I130" s="97">
        <f t="shared" si="3"/>
        <v>41.580504430917934</v>
      </c>
      <c r="J130" s="98"/>
    </row>
    <row r="131" spans="1:10" s="119" customFormat="1" x14ac:dyDescent="0.3">
      <c r="A131" s="119">
        <v>1863</v>
      </c>
      <c r="B131" s="120">
        <v>0.104</v>
      </c>
      <c r="C131" s="115">
        <v>0.68066510236740108</v>
      </c>
      <c r="D131" s="120">
        <v>0.146068</v>
      </c>
      <c r="E131" s="120">
        <v>0.22638999999999998</v>
      </c>
      <c r="F131" s="115">
        <v>0.57844620063822527</v>
      </c>
      <c r="G131" s="120">
        <v>-0.16623909827082417</v>
      </c>
      <c r="H131" s="116">
        <f t="shared" si="2"/>
        <v>2.8751955469031212</v>
      </c>
      <c r="I131" s="97">
        <f t="shared" si="3"/>
        <v>44.455699977821055</v>
      </c>
      <c r="J131" s="98"/>
    </row>
    <row r="132" spans="1:10" s="119" customFormat="1" x14ac:dyDescent="0.3">
      <c r="A132" s="119">
        <v>1864</v>
      </c>
      <c r="B132" s="120">
        <v>0.112</v>
      </c>
      <c r="C132" s="115">
        <v>0.67872483622169488</v>
      </c>
      <c r="D132" s="120">
        <v>0.20670000000000002</v>
      </c>
      <c r="E132" s="120">
        <v>0.228825</v>
      </c>
      <c r="F132" s="115">
        <v>0.74378510672498455</v>
      </c>
      <c r="G132" s="120">
        <v>-0.38858527050328967</v>
      </c>
      <c r="H132" s="116">
        <f t="shared" si="2"/>
        <v>2.8973998220017814</v>
      </c>
      <c r="I132" s="97">
        <f t="shared" si="3"/>
        <v>47.353099799822836</v>
      </c>
      <c r="J132" s="98"/>
    </row>
    <row r="133" spans="1:10" s="119" customFormat="1" x14ac:dyDescent="0.3">
      <c r="A133" s="119">
        <v>1865</v>
      </c>
      <c r="B133" s="120">
        <v>0.11899999999999999</v>
      </c>
      <c r="C133" s="115">
        <v>0.67925917237854005</v>
      </c>
      <c r="D133" s="120">
        <v>0.27369199999999999</v>
      </c>
      <c r="E133" s="120">
        <v>0.23646500000000001</v>
      </c>
      <c r="F133" s="115">
        <v>8.3540594412808269E-2</v>
      </c>
      <c r="G133" s="120">
        <v>0.20456157796573182</v>
      </c>
      <c r="H133" s="116">
        <f t="shared" si="2"/>
        <v>2.9250073831150178</v>
      </c>
      <c r="I133" s="97">
        <f t="shared" si="3"/>
        <v>50.278107182937852</v>
      </c>
      <c r="J133" s="98"/>
    </row>
    <row r="134" spans="1:10" s="119" customFormat="1" x14ac:dyDescent="0.3">
      <c r="A134" s="119">
        <v>1866</v>
      </c>
      <c r="B134" s="120">
        <v>0.122</v>
      </c>
      <c r="C134" s="115">
        <v>0.67572383405113223</v>
      </c>
      <c r="D134" s="120">
        <v>0.33432400000000001</v>
      </c>
      <c r="E134" s="120">
        <v>0.24401499999999998</v>
      </c>
      <c r="F134" s="115">
        <v>0.35449540363469467</v>
      </c>
      <c r="G134" s="120">
        <v>-0.13511056958356243</v>
      </c>
      <c r="H134" s="116">
        <f t="shared" si="2"/>
        <v>2.9230457788963449</v>
      </c>
      <c r="I134" s="97">
        <f t="shared" si="3"/>
        <v>53.201152961834197</v>
      </c>
      <c r="J134" s="98"/>
    </row>
    <row r="135" spans="1:10" s="119" customFormat="1" x14ac:dyDescent="0.3">
      <c r="A135" s="119">
        <v>1867</v>
      </c>
      <c r="B135" s="120">
        <v>0.13</v>
      </c>
      <c r="C135" s="115">
        <v>0.67388903398704536</v>
      </c>
      <c r="D135" s="120">
        <v>0.38520400000000005</v>
      </c>
      <c r="E135" s="120">
        <v>0.25209000000000004</v>
      </c>
      <c r="F135" s="115">
        <v>0.6133136820231897</v>
      </c>
      <c r="G135" s="120">
        <v>-0.44671864803614442</v>
      </c>
      <c r="H135" s="116">
        <f t="shared" si="2"/>
        <v>2.9456365062627379</v>
      </c>
      <c r="I135" s="97">
        <f t="shared" si="3"/>
        <v>56.146789468096934</v>
      </c>
      <c r="J135" s="98"/>
    </row>
    <row r="136" spans="1:10" s="119" customFormat="1" x14ac:dyDescent="0.3">
      <c r="A136" s="119">
        <v>1868</v>
      </c>
      <c r="B136" s="120">
        <v>0.13500000000000001</v>
      </c>
      <c r="C136" s="115">
        <v>0.67249063838958745</v>
      </c>
      <c r="D136" s="120">
        <v>0.42654399999999998</v>
      </c>
      <c r="E136" s="120">
        <v>0.25969500000000001</v>
      </c>
      <c r="F136" s="115">
        <v>0.54646679564862011</v>
      </c>
      <c r="G136" s="120">
        <v>-0.42521515725903264</v>
      </c>
      <c r="H136" s="116">
        <f t="shared" si="2"/>
        <v>2.9588336229799883</v>
      </c>
      <c r="I136" s="97">
        <f t="shared" si="3"/>
        <v>59.105623091076922</v>
      </c>
      <c r="J136" s="98"/>
    </row>
    <row r="137" spans="1:10" s="119" customFormat="1" x14ac:dyDescent="0.3">
      <c r="A137" s="119">
        <v>1869</v>
      </c>
      <c r="B137" s="120">
        <v>0.14199999999999999</v>
      </c>
      <c r="C137" s="115">
        <v>0.67273931000518794</v>
      </c>
      <c r="D137" s="120">
        <v>0.45834400000000003</v>
      </c>
      <c r="E137" s="120">
        <v>0.26802999999999999</v>
      </c>
      <c r="F137" s="115">
        <v>0.32327102824093118</v>
      </c>
      <c r="G137" s="120">
        <v>-0.23490571823574324</v>
      </c>
      <c r="H137" s="116">
        <f t="shared" si="2"/>
        <v>2.98539444273259</v>
      </c>
      <c r="I137" s="97">
        <f t="shared" si="3"/>
        <v>62.091017533809513</v>
      </c>
      <c r="J137" s="98"/>
    </row>
    <row r="138" spans="1:10" s="119" customFormat="1" x14ac:dyDescent="0.3">
      <c r="A138" s="119">
        <v>1870</v>
      </c>
      <c r="B138" s="120">
        <v>0.14699999999999999</v>
      </c>
      <c r="C138" s="115">
        <v>0.74217683732795714</v>
      </c>
      <c r="D138" s="120">
        <v>0.48081600000000002</v>
      </c>
      <c r="E138" s="120">
        <v>0.271125</v>
      </c>
      <c r="F138" s="115">
        <v>0.41009667709282871</v>
      </c>
      <c r="G138" s="120">
        <v>-0.27286083976487158</v>
      </c>
      <c r="H138" s="116">
        <f t="shared" si="2"/>
        <v>3.2581508663777625</v>
      </c>
      <c r="I138" s="97">
        <f t="shared" si="3"/>
        <v>65.349168400187281</v>
      </c>
      <c r="J138" s="98"/>
    </row>
    <row r="139" spans="1:10" s="119" customFormat="1" x14ac:dyDescent="0.3">
      <c r="A139" s="119">
        <v>1871</v>
      </c>
      <c r="B139" s="120">
        <v>0.156</v>
      </c>
      <c r="C139" s="115">
        <v>0.7715766523761749</v>
      </c>
      <c r="D139" s="120">
        <v>0.49459600000000004</v>
      </c>
      <c r="E139" s="120">
        <v>0.27912999999999999</v>
      </c>
      <c r="F139" s="115">
        <v>-7.4594778200747114E-2</v>
      </c>
      <c r="G139" s="120">
        <v>0.22844543057692202</v>
      </c>
      <c r="H139" s="116">
        <f t="shared" si="2"/>
        <v>3.3988567253428572</v>
      </c>
      <c r="I139" s="97">
        <f t="shared" si="3"/>
        <v>68.748025125530134</v>
      </c>
      <c r="J139" s="98"/>
    </row>
    <row r="140" spans="1:10" s="119" customFormat="1" x14ac:dyDescent="0.3">
      <c r="A140" s="119">
        <v>1872</v>
      </c>
      <c r="B140" s="120">
        <v>0.17299999999999999</v>
      </c>
      <c r="C140" s="115">
        <v>0.79149616788673405</v>
      </c>
      <c r="D140" s="120">
        <v>0.496504</v>
      </c>
      <c r="E140" s="120">
        <v>0.287825</v>
      </c>
      <c r="F140" s="115">
        <v>4.4275282520601755E-2</v>
      </c>
      <c r="G140" s="120">
        <v>0.13589188536613234</v>
      </c>
      <c r="H140" s="116">
        <f t="shared" si="2"/>
        <v>3.5341384222980485</v>
      </c>
      <c r="I140" s="97">
        <f t="shared" si="3"/>
        <v>72.282163547828176</v>
      </c>
      <c r="J140" s="98"/>
    </row>
    <row r="141" spans="1:10" s="119" customFormat="1" x14ac:dyDescent="0.3">
      <c r="A141" s="119">
        <v>1873</v>
      </c>
      <c r="B141" s="120">
        <v>0.184</v>
      </c>
      <c r="C141" s="115">
        <v>0.81133956088256842</v>
      </c>
      <c r="D141" s="120">
        <v>0.48569200000000001</v>
      </c>
      <c r="E141" s="120">
        <v>0.29594500000000001</v>
      </c>
      <c r="F141" s="115">
        <v>0.33122553544819283</v>
      </c>
      <c r="G141" s="120">
        <v>-0.11752297456562449</v>
      </c>
      <c r="H141" s="116">
        <f t="shared" si="2"/>
        <v>3.6471557922886952</v>
      </c>
      <c r="I141" s="97">
        <f t="shared" si="3"/>
        <v>75.929319340116876</v>
      </c>
      <c r="J141" s="98"/>
    </row>
    <row r="142" spans="1:10" s="119" customFormat="1" x14ac:dyDescent="0.3">
      <c r="A142" s="119">
        <v>1874</v>
      </c>
      <c r="B142" s="120">
        <v>0.17399999999999999</v>
      </c>
      <c r="C142" s="115">
        <v>0.82672173990631104</v>
      </c>
      <c r="D142" s="120">
        <v>0.46216000000000002</v>
      </c>
      <c r="E142" s="120">
        <v>0.30464999999999998</v>
      </c>
      <c r="F142" s="115">
        <v>0.27699211596526213</v>
      </c>
      <c r="G142" s="120">
        <v>-4.3080376058951042E-2</v>
      </c>
      <c r="H142" s="116">
        <f t="shared" si="2"/>
        <v>3.6668773488037125</v>
      </c>
      <c r="I142" s="97">
        <f t="shared" si="3"/>
        <v>79.596196688920585</v>
      </c>
      <c r="J142" s="98"/>
    </row>
    <row r="143" spans="1:10" s="119" customFormat="1" x14ac:dyDescent="0.3">
      <c r="A143" s="119">
        <v>1875</v>
      </c>
      <c r="B143" s="120">
        <v>0.188</v>
      </c>
      <c r="C143" s="115">
        <v>0.84173086038970946</v>
      </c>
      <c r="D143" s="120">
        <v>0.43057200000000001</v>
      </c>
      <c r="E143" s="120">
        <v>0.31311500000000003</v>
      </c>
      <c r="F143" s="115">
        <v>0.36409366278378835</v>
      </c>
      <c r="G143" s="120">
        <v>-7.8049802394078827E-2</v>
      </c>
      <c r="H143" s="116">
        <f t="shared" si="2"/>
        <v>3.7731735174262209</v>
      </c>
      <c r="I143" s="97">
        <f t="shared" si="3"/>
        <v>83.369370206346801</v>
      </c>
      <c r="J143" s="98">
        <f t="shared" ref="J143:J208" si="4">I143-($I$285-$J$285)</f>
        <v>-6.1558327875533649</v>
      </c>
    </row>
    <row r="144" spans="1:10" s="119" customFormat="1" x14ac:dyDescent="0.3">
      <c r="A144" s="119">
        <v>1876</v>
      </c>
      <c r="B144" s="120">
        <v>0.191</v>
      </c>
      <c r="C144" s="115">
        <v>0.85411854585647595</v>
      </c>
      <c r="D144" s="120">
        <v>0.40958400000000006</v>
      </c>
      <c r="E144" s="120">
        <v>0.32179999999999997</v>
      </c>
      <c r="F144" s="115">
        <v>0.76182778704710108</v>
      </c>
      <c r="G144" s="120">
        <v>-0.4480932411906251</v>
      </c>
      <c r="H144" s="116">
        <f t="shared" si="2"/>
        <v>3.8295575780881634</v>
      </c>
      <c r="I144" s="97">
        <f t="shared" si="3"/>
        <v>87.198927784434971</v>
      </c>
      <c r="J144" s="98">
        <f t="shared" si="4"/>
        <v>-2.3262752094651944</v>
      </c>
    </row>
    <row r="145" spans="1:10" s="119" customFormat="1" x14ac:dyDescent="0.3">
      <c r="A145" s="119">
        <v>1877</v>
      </c>
      <c r="B145" s="120">
        <v>0.19400000000000001</v>
      </c>
      <c r="C145" s="115">
        <v>0.8643540648422241</v>
      </c>
      <c r="D145" s="120">
        <v>0.40407199999999999</v>
      </c>
      <c r="E145" s="120">
        <v>0.33545999999999998</v>
      </c>
      <c r="F145" s="115">
        <v>0.98374350621826656</v>
      </c>
      <c r="G145" s="120">
        <v>-0.66492144137604248</v>
      </c>
      <c r="H145" s="116">
        <f t="shared" si="2"/>
        <v>3.8780555998989468</v>
      </c>
      <c r="I145" s="97">
        <f t="shared" si="3"/>
        <v>91.076983384333914</v>
      </c>
      <c r="J145" s="98">
        <f t="shared" si="4"/>
        <v>1.5517803904337484</v>
      </c>
    </row>
    <row r="146" spans="1:10" s="119" customFormat="1" x14ac:dyDescent="0.3">
      <c r="A146" s="119">
        <v>1878</v>
      </c>
      <c r="B146" s="120">
        <v>0.19600000000000001</v>
      </c>
      <c r="C146" s="115">
        <v>0.87318361570739744</v>
      </c>
      <c r="D146" s="120">
        <v>0.41382400000000003</v>
      </c>
      <c r="E146" s="120">
        <v>0.34426999999999996</v>
      </c>
      <c r="F146" s="115">
        <v>0.43979838976449875</v>
      </c>
      <c r="G146" s="120">
        <v>-0.12870877405710118</v>
      </c>
      <c r="H146" s="116">
        <f t="shared" si="2"/>
        <v>3.9177375945850419</v>
      </c>
      <c r="I146" s="97">
        <f t="shared" si="3"/>
        <v>94.994720978918963</v>
      </c>
      <c r="J146" s="98">
        <f t="shared" si="4"/>
        <v>5.4695179850187969</v>
      </c>
    </row>
    <row r="147" spans="1:10" s="119" customFormat="1" x14ac:dyDescent="0.3">
      <c r="A147" s="119">
        <v>1879</v>
      </c>
      <c r="B147" s="120">
        <v>0.21</v>
      </c>
      <c r="C147" s="115">
        <v>0.87882361824798594</v>
      </c>
      <c r="D147" s="120">
        <v>0.43714400000000003</v>
      </c>
      <c r="E147" s="120">
        <v>0.35277000000000003</v>
      </c>
      <c r="F147" s="115">
        <v>-0.12279869922814166</v>
      </c>
      <c r="G147" s="120">
        <v>0.42170831747612769</v>
      </c>
      <c r="H147" s="116">
        <f t="shared" ref="H147:H210" si="5">(B147+C147)*44.01/12.0107</f>
        <v>3.989703134629444</v>
      </c>
      <c r="I147" s="97">
        <f t="shared" si="3"/>
        <v>98.984424113548414</v>
      </c>
      <c r="J147" s="98">
        <f t="shared" si="4"/>
        <v>9.4592211196482481</v>
      </c>
    </row>
    <row r="148" spans="1:10" s="119" customFormat="1" x14ac:dyDescent="0.3">
      <c r="A148" s="119">
        <v>1880</v>
      </c>
      <c r="B148" s="120">
        <v>0.23599999999999999</v>
      </c>
      <c r="C148" s="115">
        <v>0.87644247146224996</v>
      </c>
      <c r="D148" s="120">
        <v>0.46767199999999998</v>
      </c>
      <c r="E148" s="120">
        <v>0.36152000000000001</v>
      </c>
      <c r="F148" s="115">
        <v>0.52270415364781775</v>
      </c>
      <c r="G148" s="120">
        <v>-0.2394536821855679</v>
      </c>
      <c r="H148" s="116">
        <f t="shared" si="5"/>
        <v>4.0762481095234762</v>
      </c>
      <c r="I148" s="97">
        <f t="shared" ref="I148:I211" si="6">I147+H148</f>
        <v>103.06067222307189</v>
      </c>
      <c r="J148" s="98">
        <f t="shared" si="4"/>
        <v>13.535469229171724</v>
      </c>
    </row>
    <row r="149" spans="1:10" s="119" customFormat="1" x14ac:dyDescent="0.3">
      <c r="A149" s="119">
        <v>1881</v>
      </c>
      <c r="B149" s="120">
        <v>0.24299999999999999</v>
      </c>
      <c r="C149" s="115">
        <v>0.89041621583175645</v>
      </c>
      <c r="D149" s="120">
        <v>0.50349999999999995</v>
      </c>
      <c r="E149" s="120">
        <v>0.37027500000000002</v>
      </c>
      <c r="F149" s="115">
        <v>-0.1336267310143982</v>
      </c>
      <c r="G149" s="120">
        <v>0.39326794684615468</v>
      </c>
      <c r="H149" s="116">
        <f t="shared" si="5"/>
        <v>4.1531007900251939</v>
      </c>
      <c r="I149" s="97">
        <f t="shared" si="6"/>
        <v>107.21377301309708</v>
      </c>
      <c r="J149" s="98">
        <f t="shared" si="4"/>
        <v>17.688570019196916</v>
      </c>
    </row>
    <row r="150" spans="1:10" s="119" customFormat="1" x14ac:dyDescent="0.3">
      <c r="A150" s="119">
        <v>1882</v>
      </c>
      <c r="B150" s="120">
        <v>0.25600000000000001</v>
      </c>
      <c r="C150" s="115">
        <v>0.89982444309234599</v>
      </c>
      <c r="D150" s="120">
        <v>0.54462800000000011</v>
      </c>
      <c r="E150" s="120">
        <v>0.37901000000000001</v>
      </c>
      <c r="F150" s="115">
        <v>-7.6179775644323808E-2</v>
      </c>
      <c r="G150" s="120">
        <v>0.30836621873666958</v>
      </c>
      <c r="H150" s="116">
        <f t="shared" si="5"/>
        <v>4.2352097496810464</v>
      </c>
      <c r="I150" s="97">
        <f t="shared" si="6"/>
        <v>111.44898276277813</v>
      </c>
      <c r="J150" s="98">
        <f t="shared" si="4"/>
        <v>21.923779768877964</v>
      </c>
    </row>
    <row r="151" spans="1:10" s="119" customFormat="1" x14ac:dyDescent="0.3">
      <c r="A151" s="119">
        <v>1883</v>
      </c>
      <c r="B151" s="120">
        <v>0.27200000000000002</v>
      </c>
      <c r="C151" s="115">
        <v>0.91103312758636457</v>
      </c>
      <c r="D151" s="120">
        <v>0.59126800000000002</v>
      </c>
      <c r="E151" s="120">
        <v>0.38722999999999996</v>
      </c>
      <c r="F151" s="115">
        <v>0.8211579516909574</v>
      </c>
      <c r="G151" s="120">
        <v>-0.61662282410459279</v>
      </c>
      <c r="H151" s="116">
        <f t="shared" si="5"/>
        <v>4.3349087018305266</v>
      </c>
      <c r="I151" s="97">
        <f t="shared" si="6"/>
        <v>115.78389146460866</v>
      </c>
      <c r="J151" s="98">
        <f t="shared" si="4"/>
        <v>26.258688470708492</v>
      </c>
    </row>
    <row r="152" spans="1:10" s="119" customFormat="1" x14ac:dyDescent="0.3">
      <c r="A152" s="119">
        <v>1884</v>
      </c>
      <c r="B152" s="120">
        <v>0.27500000000000002</v>
      </c>
      <c r="C152" s="115">
        <v>0.920035732963562</v>
      </c>
      <c r="D152" s="120">
        <v>0.64617600000000008</v>
      </c>
      <c r="E152" s="120">
        <v>0.39574500000000001</v>
      </c>
      <c r="F152" s="115">
        <v>1.0586083432198852</v>
      </c>
      <c r="G152" s="120">
        <v>-0.90549361025632313</v>
      </c>
      <c r="H152" s="116">
        <f t="shared" si="5"/>
        <v>4.3788890412487511</v>
      </c>
      <c r="I152" s="97">
        <f t="shared" si="6"/>
        <v>120.16278050585741</v>
      </c>
      <c r="J152" s="98">
        <f t="shared" si="4"/>
        <v>30.637577511957247</v>
      </c>
    </row>
    <row r="153" spans="1:10" s="119" customFormat="1" x14ac:dyDescent="0.3">
      <c r="A153" s="119">
        <v>1885</v>
      </c>
      <c r="B153" s="120">
        <v>0.27700000000000002</v>
      </c>
      <c r="C153" s="115">
        <v>0.92816311271667495</v>
      </c>
      <c r="D153" s="120">
        <v>0.718468</v>
      </c>
      <c r="E153" s="120">
        <v>0.40403500000000003</v>
      </c>
      <c r="F153" s="115">
        <v>0.25937120048911777</v>
      </c>
      <c r="G153" s="120">
        <v>-0.17671108777244293</v>
      </c>
      <c r="H153" s="116">
        <f t="shared" si="5"/>
        <v>4.4159981175669083</v>
      </c>
      <c r="I153" s="97">
        <f t="shared" si="6"/>
        <v>124.57877862342433</v>
      </c>
      <c r="J153" s="98">
        <f t="shared" si="4"/>
        <v>35.053575629524161</v>
      </c>
    </row>
    <row r="154" spans="1:10" s="119" customFormat="1" x14ac:dyDescent="0.3">
      <c r="A154" s="119">
        <v>1886</v>
      </c>
      <c r="B154" s="120">
        <v>0.28100000000000003</v>
      </c>
      <c r="C154" s="115">
        <v>0.9319519757881165</v>
      </c>
      <c r="D154" s="120">
        <v>0.7820680000000001</v>
      </c>
      <c r="E154" s="120">
        <v>0.40715999999999997</v>
      </c>
      <c r="F154" s="115">
        <v>0.69144402982572684</v>
      </c>
      <c r="G154" s="120">
        <v>-0.66772005403761048</v>
      </c>
      <c r="H154" s="116">
        <f t="shared" si="5"/>
        <v>4.4445383245302112</v>
      </c>
      <c r="I154" s="97">
        <f t="shared" si="6"/>
        <v>129.02331694795453</v>
      </c>
      <c r="J154" s="98">
        <f t="shared" si="4"/>
        <v>39.498113954054361</v>
      </c>
    </row>
    <row r="155" spans="1:10" s="119" customFormat="1" x14ac:dyDescent="0.3">
      <c r="A155" s="119">
        <v>1887</v>
      </c>
      <c r="B155" s="120">
        <v>0.29499999999999998</v>
      </c>
      <c r="C155" s="115">
        <v>0.93592152877044699</v>
      </c>
      <c r="D155" s="120">
        <v>0.82065200000000005</v>
      </c>
      <c r="E155" s="120">
        <v>0.415325</v>
      </c>
      <c r="F155" s="115">
        <v>0.85834080363214671</v>
      </c>
      <c r="G155" s="120">
        <v>-0.8633962748616999</v>
      </c>
      <c r="H155" s="116">
        <f t="shared" si="5"/>
        <v>4.5103829486364129</v>
      </c>
      <c r="I155" s="97">
        <f t="shared" si="6"/>
        <v>133.53369989659095</v>
      </c>
      <c r="J155" s="98">
        <f t="shared" si="4"/>
        <v>44.00849690269078</v>
      </c>
    </row>
    <row r="156" spans="1:10" s="119" customFormat="1" x14ac:dyDescent="0.3">
      <c r="A156" s="119">
        <v>1888</v>
      </c>
      <c r="B156" s="120">
        <v>0.32700000000000001</v>
      </c>
      <c r="C156" s="115">
        <v>0.940335587173462</v>
      </c>
      <c r="D156" s="120">
        <v>0.838036</v>
      </c>
      <c r="E156" s="120">
        <v>0.41859499999999999</v>
      </c>
      <c r="F156" s="115">
        <v>0.92312585747805553</v>
      </c>
      <c r="G156" s="120">
        <v>-0.91242127030459352</v>
      </c>
      <c r="H156" s="116">
        <f t="shared" si="5"/>
        <v>4.643812533116642</v>
      </c>
      <c r="I156" s="97">
        <f t="shared" si="6"/>
        <v>138.17751242970758</v>
      </c>
      <c r="J156" s="98">
        <f t="shared" si="4"/>
        <v>48.65230943580741</v>
      </c>
    </row>
    <row r="157" spans="1:10" s="119" customFormat="1" x14ac:dyDescent="0.3">
      <c r="A157" s="119">
        <v>1889</v>
      </c>
      <c r="B157" s="120">
        <v>0.32700000000000001</v>
      </c>
      <c r="C157" s="115">
        <v>0.94613749989700291</v>
      </c>
      <c r="D157" s="120">
        <v>0.85139200000000004</v>
      </c>
      <c r="E157" s="120">
        <v>0.42624499999999999</v>
      </c>
      <c r="F157" s="115">
        <v>0.66559249338488791</v>
      </c>
      <c r="G157" s="120">
        <v>-0.67009199348788506</v>
      </c>
      <c r="H157" s="116">
        <f t="shared" si="5"/>
        <v>4.6650720915905897</v>
      </c>
      <c r="I157" s="97">
        <f t="shared" si="6"/>
        <v>142.84258452129816</v>
      </c>
      <c r="J157" s="98">
        <f t="shared" si="4"/>
        <v>53.317381527397998</v>
      </c>
    </row>
    <row r="158" spans="1:10" s="119" customFormat="1" x14ac:dyDescent="0.3">
      <c r="A158" s="119">
        <v>1890</v>
      </c>
      <c r="B158" s="120">
        <v>0.35599999999999998</v>
      </c>
      <c r="C158" s="115">
        <v>0.97878814415740945</v>
      </c>
      <c r="D158" s="120">
        <v>0.86220400000000008</v>
      </c>
      <c r="E158" s="120">
        <v>0.433865</v>
      </c>
      <c r="F158" s="115">
        <v>0.72135206492936643</v>
      </c>
      <c r="G158" s="120">
        <v>-0.68263292077195703</v>
      </c>
      <c r="H158" s="116">
        <f t="shared" si="5"/>
        <v>4.8909743998574262</v>
      </c>
      <c r="I158" s="97">
        <f t="shared" si="6"/>
        <v>147.73355892115558</v>
      </c>
      <c r="J158" s="98">
        <f t="shared" si="4"/>
        <v>58.208355927255411</v>
      </c>
    </row>
    <row r="159" spans="1:10" s="119" customFormat="1" x14ac:dyDescent="0.3">
      <c r="A159" s="119">
        <v>1891</v>
      </c>
      <c r="B159" s="120">
        <v>0.372</v>
      </c>
      <c r="C159" s="115">
        <v>1.0054110466880799</v>
      </c>
      <c r="D159" s="120">
        <v>0.86008400000000007</v>
      </c>
      <c r="E159" s="120">
        <v>0.43642999999999998</v>
      </c>
      <c r="F159" s="115">
        <v>0.17861932414055864</v>
      </c>
      <c r="G159" s="120">
        <v>-9.772227745247869E-2</v>
      </c>
      <c r="H159" s="116">
        <f t="shared" si="5"/>
        <v>5.0471546341797229</v>
      </c>
      <c r="I159" s="97">
        <f t="shared" si="6"/>
        <v>152.7807135553353</v>
      </c>
      <c r="J159" s="98">
        <f t="shared" si="4"/>
        <v>63.255510561435131</v>
      </c>
    </row>
    <row r="160" spans="1:10" s="119" customFormat="1" x14ac:dyDescent="0.3">
      <c r="A160" s="119">
        <v>1892</v>
      </c>
      <c r="B160" s="120">
        <v>0.374</v>
      </c>
      <c r="C160" s="115">
        <v>1.0209182585220336</v>
      </c>
      <c r="D160" s="120">
        <v>0.84291200000000011</v>
      </c>
      <c r="E160" s="120">
        <v>0.44394</v>
      </c>
      <c r="F160" s="115">
        <v>0.33784223560304671</v>
      </c>
      <c r="G160" s="120">
        <v>-0.22977597708101316</v>
      </c>
      <c r="H160" s="116">
        <f t="shared" si="5"/>
        <v>5.1113051327195498</v>
      </c>
      <c r="I160" s="97">
        <f t="shared" si="6"/>
        <v>157.89201868805483</v>
      </c>
      <c r="J160" s="98">
        <f t="shared" si="4"/>
        <v>68.366815694154667</v>
      </c>
    </row>
    <row r="161" spans="1:10" s="119" customFormat="1" x14ac:dyDescent="0.3">
      <c r="A161" s="119">
        <v>1893</v>
      </c>
      <c r="B161" s="120">
        <v>0.37</v>
      </c>
      <c r="C161" s="115">
        <v>1.0319135717926025</v>
      </c>
      <c r="D161" s="120">
        <v>0.81132400000000005</v>
      </c>
      <c r="E161" s="120">
        <v>0.45138999999999996</v>
      </c>
      <c r="F161" s="115">
        <v>0.62308077618239865</v>
      </c>
      <c r="G161" s="120">
        <v>-0.48388120438979609</v>
      </c>
      <c r="H161" s="116">
        <f t="shared" si="5"/>
        <v>5.1369375885329278</v>
      </c>
      <c r="I161" s="97">
        <f t="shared" si="6"/>
        <v>163.02895627658776</v>
      </c>
      <c r="J161" s="98">
        <f t="shared" si="4"/>
        <v>73.503753282687597</v>
      </c>
    </row>
    <row r="162" spans="1:10" s="119" customFormat="1" x14ac:dyDescent="0.3">
      <c r="A162" s="119">
        <v>1894</v>
      </c>
      <c r="B162" s="120">
        <v>0.38300000000000001</v>
      </c>
      <c r="C162" s="115">
        <v>1.0438428435401916</v>
      </c>
      <c r="D162" s="120">
        <v>0.77210400000000012</v>
      </c>
      <c r="E162" s="120">
        <v>0.45926999999999996</v>
      </c>
      <c r="F162" s="115">
        <v>0.47770441521867857</v>
      </c>
      <c r="G162" s="120">
        <v>-0.28223557167848701</v>
      </c>
      <c r="H162" s="116">
        <f t="shared" si="5"/>
        <v>5.2282842419012905</v>
      </c>
      <c r="I162" s="97">
        <f t="shared" si="6"/>
        <v>168.25724051848906</v>
      </c>
      <c r="J162" s="98">
        <f t="shared" si="4"/>
        <v>78.73203752458889</v>
      </c>
    </row>
    <row r="163" spans="1:10" s="119" customFormat="1" x14ac:dyDescent="0.3">
      <c r="A163" s="119">
        <v>1895</v>
      </c>
      <c r="B163" s="120">
        <v>0.40600000000000003</v>
      </c>
      <c r="C163" s="115">
        <v>1.0544331481513975</v>
      </c>
      <c r="D163" s="120">
        <v>0.72631200000000007</v>
      </c>
      <c r="E163" s="120">
        <v>0.46162000000000003</v>
      </c>
      <c r="F163" s="115">
        <v>0.64067356392771391</v>
      </c>
      <c r="G163" s="120">
        <v>-0.36817241577631654</v>
      </c>
      <c r="H163" s="116">
        <f t="shared" si="5"/>
        <v>5.3513669353279161</v>
      </c>
      <c r="I163" s="97">
        <f t="shared" si="6"/>
        <v>173.60860745381697</v>
      </c>
      <c r="J163" s="98">
        <f t="shared" si="4"/>
        <v>84.083404459916807</v>
      </c>
    </row>
    <row r="164" spans="1:10" s="119" customFormat="1" x14ac:dyDescent="0.3">
      <c r="A164" s="119">
        <v>1896</v>
      </c>
      <c r="B164" s="120">
        <v>0.41899999999999998</v>
      </c>
      <c r="C164" s="115">
        <v>1.0627256392059325</v>
      </c>
      <c r="D164" s="120">
        <v>0.66398400000000002</v>
      </c>
      <c r="E164" s="120">
        <v>0.46931</v>
      </c>
      <c r="F164" s="115">
        <v>1.1015571394205934</v>
      </c>
      <c r="G164" s="120">
        <v>-0.75312550021466085</v>
      </c>
      <c r="H164" s="116">
        <f t="shared" si="5"/>
        <v>5.429387577864162</v>
      </c>
      <c r="I164" s="97">
        <f t="shared" si="6"/>
        <v>179.03799503168113</v>
      </c>
      <c r="J164" s="98">
        <f t="shared" si="4"/>
        <v>89.512792037780969</v>
      </c>
    </row>
    <row r="165" spans="1:10" s="119" customFormat="1" x14ac:dyDescent="0.3">
      <c r="A165" s="119">
        <v>1897</v>
      </c>
      <c r="B165" s="120">
        <v>0.44</v>
      </c>
      <c r="C165" s="115">
        <v>1.0730139951057436</v>
      </c>
      <c r="D165" s="120">
        <v>0.5895720000000001</v>
      </c>
      <c r="E165" s="120">
        <v>0.47716000000000003</v>
      </c>
      <c r="F165" s="115">
        <v>1.1314936860110731</v>
      </c>
      <c r="G165" s="120">
        <v>-0.68521169090532974</v>
      </c>
      <c r="H165" s="116">
        <f t="shared" si="5"/>
        <v>5.5440353954893355</v>
      </c>
      <c r="I165" s="97">
        <f t="shared" si="6"/>
        <v>184.58203042717048</v>
      </c>
      <c r="J165" s="98">
        <f t="shared" si="4"/>
        <v>95.056827433270314</v>
      </c>
    </row>
    <row r="166" spans="1:10" s="119" customFormat="1" x14ac:dyDescent="0.3">
      <c r="A166" s="119">
        <v>1898</v>
      </c>
      <c r="B166" s="120">
        <v>0.46500000000000002</v>
      </c>
      <c r="C166" s="115">
        <v>1.077664193634033</v>
      </c>
      <c r="D166" s="120">
        <v>0.53105999999999998</v>
      </c>
      <c r="E166" s="120">
        <v>0.47980500000000004</v>
      </c>
      <c r="F166" s="115">
        <v>0.67800233599902293</v>
      </c>
      <c r="G166" s="120">
        <v>-0.14620314236498999</v>
      </c>
      <c r="H166" s="116">
        <f t="shared" si="5"/>
        <v>5.6526806232637394</v>
      </c>
      <c r="I166" s="97">
        <f t="shared" si="6"/>
        <v>190.23471105043421</v>
      </c>
      <c r="J166" s="98">
        <f t="shared" si="4"/>
        <v>100.70950805653405</v>
      </c>
    </row>
    <row r="167" spans="1:10" s="119" customFormat="1" x14ac:dyDescent="0.3">
      <c r="A167" s="119">
        <v>1899</v>
      </c>
      <c r="B167" s="120">
        <v>0.50700000000000001</v>
      </c>
      <c r="C167" s="115">
        <v>1.0812255006828311</v>
      </c>
      <c r="D167" s="120">
        <v>0.49565600000000004</v>
      </c>
      <c r="E167" s="120">
        <v>0.48771500000000001</v>
      </c>
      <c r="F167" s="115">
        <v>0.22052921946398205</v>
      </c>
      <c r="G167" s="120">
        <v>0.38432528121884901</v>
      </c>
      <c r="H167" s="116">
        <f t="shared" si="5"/>
        <v>5.8196278555830547</v>
      </c>
      <c r="I167" s="97">
        <f t="shared" si="6"/>
        <v>196.05433890601728</v>
      </c>
      <c r="J167" s="98">
        <f t="shared" si="4"/>
        <v>106.52913591211711</v>
      </c>
    </row>
    <row r="168" spans="1:10" s="119" customFormat="1" x14ac:dyDescent="0.3">
      <c r="A168" s="119">
        <v>1900</v>
      </c>
      <c r="B168" s="120">
        <v>0.53400000000000003</v>
      </c>
      <c r="C168" s="115">
        <v>1.1190538829345704</v>
      </c>
      <c r="D168" s="120">
        <v>0.48166400000000004</v>
      </c>
      <c r="E168" s="120">
        <v>0.49105500000000002</v>
      </c>
      <c r="F168" s="115">
        <v>0.76937540187813191</v>
      </c>
      <c r="G168" s="120">
        <v>-8.9040518943561575E-2</v>
      </c>
      <c r="H168" s="116">
        <f t="shared" si="5"/>
        <v>6.0571741353918132</v>
      </c>
      <c r="I168" s="97">
        <f t="shared" si="6"/>
        <v>202.1115130414091</v>
      </c>
      <c r="J168" s="98">
        <f t="shared" si="4"/>
        <v>112.58631004750893</v>
      </c>
    </row>
    <row r="169" spans="1:10" s="119" customFormat="1" x14ac:dyDescent="0.3">
      <c r="A169" s="119">
        <v>1901</v>
      </c>
      <c r="B169" s="120">
        <v>0.55200000000000005</v>
      </c>
      <c r="C169" s="115">
        <v>1.1485184501838686</v>
      </c>
      <c r="D169" s="120">
        <v>0.48314800000000002</v>
      </c>
      <c r="E169" s="120">
        <v>0.499255</v>
      </c>
      <c r="F169" s="115">
        <v>0.19694388426489184</v>
      </c>
      <c r="G169" s="120">
        <v>0.52117156591897684</v>
      </c>
      <c r="H169" s="116">
        <f t="shared" si="5"/>
        <v>6.23109535602355</v>
      </c>
      <c r="I169" s="97">
        <f t="shared" si="6"/>
        <v>208.34260839743266</v>
      </c>
      <c r="J169" s="98">
        <f t="shared" si="4"/>
        <v>118.81740540353249</v>
      </c>
    </row>
    <row r="170" spans="1:10" s="119" customFormat="1" x14ac:dyDescent="0.3">
      <c r="A170" s="119">
        <v>1902</v>
      </c>
      <c r="B170" s="120">
        <v>0.56599999999999995</v>
      </c>
      <c r="C170" s="115">
        <v>1.1665360006904599</v>
      </c>
      <c r="D170" s="120">
        <v>0.49798800000000004</v>
      </c>
      <c r="E170" s="120">
        <v>0.50242500000000001</v>
      </c>
      <c r="F170" s="115">
        <v>-0.24894914768288071</v>
      </c>
      <c r="G170" s="120">
        <v>0.98107214837334034</v>
      </c>
      <c r="H170" s="116">
        <f t="shared" si="5"/>
        <v>6.3484151123903789</v>
      </c>
      <c r="I170" s="97">
        <f t="shared" si="6"/>
        <v>214.69102350982303</v>
      </c>
      <c r="J170" s="98">
        <f t="shared" si="4"/>
        <v>125.16582051592286</v>
      </c>
    </row>
    <row r="171" spans="1:10" s="119" customFormat="1" x14ac:dyDescent="0.3">
      <c r="A171" s="119">
        <v>1903</v>
      </c>
      <c r="B171" s="120">
        <v>0.61699999999999999</v>
      </c>
      <c r="C171" s="115">
        <v>1.1830638007392886</v>
      </c>
      <c r="D171" s="120">
        <v>0.52491200000000005</v>
      </c>
      <c r="E171" s="120">
        <v>0.51100999999999996</v>
      </c>
      <c r="F171" s="115">
        <v>1.2170032553583645</v>
      </c>
      <c r="G171" s="120">
        <v>-0.4528614546190759</v>
      </c>
      <c r="H171" s="116">
        <f t="shared" si="5"/>
        <v>6.5958526872318926</v>
      </c>
      <c r="I171" s="97">
        <f t="shared" si="6"/>
        <v>221.28687619705491</v>
      </c>
      <c r="J171" s="98">
        <f t="shared" si="4"/>
        <v>131.76167320315474</v>
      </c>
    </row>
    <row r="172" spans="1:10" s="119" customFormat="1" x14ac:dyDescent="0.3">
      <c r="A172" s="119">
        <v>1904</v>
      </c>
      <c r="B172" s="120">
        <v>0.624</v>
      </c>
      <c r="C172" s="115">
        <v>1.1970654351463321</v>
      </c>
      <c r="D172" s="120">
        <v>0.563496</v>
      </c>
      <c r="E172" s="120">
        <v>0.51974500000000001</v>
      </c>
      <c r="F172" s="115">
        <v>1.5157109017496733</v>
      </c>
      <c r="G172" s="120">
        <v>-0.77788646660334104</v>
      </c>
      <c r="H172" s="116">
        <f t="shared" si="5"/>
        <v>6.6728075633218777</v>
      </c>
      <c r="I172" s="97">
        <f t="shared" si="6"/>
        <v>227.95968376037678</v>
      </c>
      <c r="J172" s="98">
        <f t="shared" si="4"/>
        <v>138.43448076647661</v>
      </c>
    </row>
    <row r="173" spans="1:10" s="119" customFormat="1" x14ac:dyDescent="0.3">
      <c r="A173" s="119">
        <v>1905</v>
      </c>
      <c r="B173" s="120">
        <v>0.66300000000000003</v>
      </c>
      <c r="C173" s="115">
        <v>1.2079041955451966</v>
      </c>
      <c r="D173" s="120">
        <v>0.60822799999999999</v>
      </c>
      <c r="E173" s="120">
        <v>0.52319000000000004</v>
      </c>
      <c r="F173" s="115">
        <v>0.29638738194814152</v>
      </c>
      <c r="G173" s="120">
        <v>0.44309881359705505</v>
      </c>
      <c r="H173" s="116">
        <f t="shared" si="5"/>
        <v>6.8554283801896725</v>
      </c>
      <c r="I173" s="97">
        <f t="shared" si="6"/>
        <v>234.81511214056644</v>
      </c>
      <c r="J173" s="98">
        <f t="shared" si="4"/>
        <v>145.28990914666628</v>
      </c>
    </row>
    <row r="174" spans="1:10" s="119" customFormat="1" x14ac:dyDescent="0.3">
      <c r="A174" s="119">
        <v>1906</v>
      </c>
      <c r="B174" s="120">
        <v>0.70699999999999996</v>
      </c>
      <c r="C174" s="115">
        <v>1.2152758543663025</v>
      </c>
      <c r="D174" s="120">
        <v>0.64108799999999999</v>
      </c>
      <c r="E174" s="120">
        <v>0.53191500000000003</v>
      </c>
      <c r="F174" s="115">
        <v>1.0433221686388905</v>
      </c>
      <c r="G174" s="120">
        <v>-0.29404931427258785</v>
      </c>
      <c r="H174" s="116">
        <f t="shared" si="5"/>
        <v>7.043666093621602</v>
      </c>
      <c r="I174" s="97">
        <f t="shared" si="6"/>
        <v>241.85877823418804</v>
      </c>
      <c r="J174" s="98">
        <f t="shared" si="4"/>
        <v>152.33357524028787</v>
      </c>
    </row>
    <row r="175" spans="1:10" s="119" customFormat="1" x14ac:dyDescent="0.3">
      <c r="A175" s="119">
        <v>1907</v>
      </c>
      <c r="B175" s="120">
        <v>0.78400000000000003</v>
      </c>
      <c r="C175" s="115">
        <v>1.2259810349159239</v>
      </c>
      <c r="D175" s="120">
        <v>0.66801200000000005</v>
      </c>
      <c r="E175" s="120">
        <v>0.54097499999999998</v>
      </c>
      <c r="F175" s="115">
        <v>1.1987460687880316</v>
      </c>
      <c r="G175" s="120">
        <v>-0.39775203387210745</v>
      </c>
      <c r="H175" s="116">
        <f t="shared" si="5"/>
        <v>7.3650382864154311</v>
      </c>
      <c r="I175" s="97">
        <f t="shared" si="6"/>
        <v>249.22381652060346</v>
      </c>
      <c r="J175" s="98">
        <f t="shared" si="4"/>
        <v>159.6986135267033</v>
      </c>
    </row>
    <row r="176" spans="1:10" s="119" customFormat="1" x14ac:dyDescent="0.3">
      <c r="A176" s="119">
        <v>1908</v>
      </c>
      <c r="B176" s="120">
        <v>0.75</v>
      </c>
      <c r="C176" s="115">
        <v>1.2281478778038024</v>
      </c>
      <c r="D176" s="120">
        <v>0.68772800000000012</v>
      </c>
      <c r="E176" s="120">
        <v>0.54950499999999991</v>
      </c>
      <c r="F176" s="115">
        <v>1.042509323119476</v>
      </c>
      <c r="G176" s="120">
        <v>-0.30159444531567359</v>
      </c>
      <c r="H176" s="116">
        <f t="shared" si="5"/>
        <v>7.2483941903590416</v>
      </c>
      <c r="I176" s="97">
        <f t="shared" si="6"/>
        <v>256.47221071096249</v>
      </c>
      <c r="J176" s="98">
        <f t="shared" si="4"/>
        <v>166.94700771706232</v>
      </c>
    </row>
    <row r="177" spans="1:10" s="119" customFormat="1" x14ac:dyDescent="0.3">
      <c r="A177" s="119">
        <v>1909</v>
      </c>
      <c r="B177" s="120">
        <v>0.78500000000000003</v>
      </c>
      <c r="C177" s="115">
        <v>1.2381716668090821</v>
      </c>
      <c r="D177" s="120">
        <v>0.69938800000000012</v>
      </c>
      <c r="E177" s="120">
        <v>0.55817000000000005</v>
      </c>
      <c r="F177" s="115">
        <v>0.72127563082853074</v>
      </c>
      <c r="G177" s="120">
        <v>4.4338035980551305E-2</v>
      </c>
      <c r="H177" s="116">
        <f t="shared" si="5"/>
        <v>7.4133718314725794</v>
      </c>
      <c r="I177" s="97">
        <f t="shared" si="6"/>
        <v>263.88558254243509</v>
      </c>
      <c r="J177" s="98">
        <f t="shared" si="4"/>
        <v>174.36037954853492</v>
      </c>
    </row>
    <row r="178" spans="1:10" s="119" customFormat="1" x14ac:dyDescent="0.3">
      <c r="A178" s="119">
        <v>1910</v>
      </c>
      <c r="B178" s="120">
        <v>0.81899999999999995</v>
      </c>
      <c r="C178" s="115">
        <v>1.2146435485839846</v>
      </c>
      <c r="D178" s="120">
        <v>0.706596</v>
      </c>
      <c r="E178" s="120">
        <v>0.56191999999999998</v>
      </c>
      <c r="F178" s="115">
        <v>1.0454886662141001</v>
      </c>
      <c r="G178" s="120">
        <v>-0.28036111763011551</v>
      </c>
      <c r="H178" s="116">
        <f t="shared" si="5"/>
        <v>7.4517432433730884</v>
      </c>
      <c r="I178" s="97">
        <f t="shared" si="6"/>
        <v>271.33732578580816</v>
      </c>
      <c r="J178" s="98">
        <f t="shared" si="4"/>
        <v>181.812122791908</v>
      </c>
    </row>
    <row r="179" spans="1:10" s="119" customFormat="1" x14ac:dyDescent="0.3">
      <c r="A179" s="119">
        <v>1911</v>
      </c>
      <c r="B179" s="120">
        <v>0.83599999999999997</v>
      </c>
      <c r="C179" s="115">
        <v>1.2080211761398316</v>
      </c>
      <c r="D179" s="120">
        <v>0.72398000000000007</v>
      </c>
      <c r="E179" s="120">
        <v>0.570295</v>
      </c>
      <c r="F179" s="115">
        <v>0.35582870843155079</v>
      </c>
      <c r="G179" s="120">
        <v>0.39391746770828062</v>
      </c>
      <c r="H179" s="116">
        <f t="shared" si="5"/>
        <v>7.4897692858795892</v>
      </c>
      <c r="I179" s="97">
        <f t="shared" si="6"/>
        <v>278.82709507168772</v>
      </c>
      <c r="J179" s="98">
        <f t="shared" si="4"/>
        <v>189.30189207778756</v>
      </c>
    </row>
    <row r="180" spans="1:10" s="119" customFormat="1" x14ac:dyDescent="0.3">
      <c r="A180" s="119">
        <v>1912</v>
      </c>
      <c r="B180" s="120">
        <v>0.879</v>
      </c>
      <c r="C180" s="115">
        <v>1.1969451555671689</v>
      </c>
      <c r="D180" s="120">
        <v>0.75450800000000007</v>
      </c>
      <c r="E180" s="120">
        <v>0.57396000000000003</v>
      </c>
      <c r="F180" s="115">
        <v>0.48388314437691127</v>
      </c>
      <c r="G180" s="120">
        <v>0.2635940111902576</v>
      </c>
      <c r="H180" s="116">
        <f t="shared" si="5"/>
        <v>7.6067461760356263</v>
      </c>
      <c r="I180" s="97">
        <f t="shared" si="6"/>
        <v>286.43384124772336</v>
      </c>
      <c r="J180" s="98">
        <f t="shared" si="4"/>
        <v>196.9086382538232</v>
      </c>
    </row>
    <row r="181" spans="1:10" s="119" customFormat="1" x14ac:dyDescent="0.3">
      <c r="A181" s="119">
        <v>1913</v>
      </c>
      <c r="B181" s="120">
        <v>0.94299999999999995</v>
      </c>
      <c r="C181" s="115">
        <v>1.1903757457618713</v>
      </c>
      <c r="D181" s="120">
        <v>0.78779200000000005</v>
      </c>
      <c r="E181" s="120">
        <v>0.58222499999999999</v>
      </c>
      <c r="F181" s="115">
        <v>0.66182291190461606</v>
      </c>
      <c r="G181" s="120">
        <v>0.10153583385725529</v>
      </c>
      <c r="H181" s="116">
        <f t="shared" si="5"/>
        <v>7.8171852240901831</v>
      </c>
      <c r="I181" s="97">
        <f t="shared" si="6"/>
        <v>294.25102647181353</v>
      </c>
      <c r="J181" s="98">
        <f t="shared" si="4"/>
        <v>204.72582347791337</v>
      </c>
    </row>
    <row r="182" spans="1:10" s="119" customFormat="1" x14ac:dyDescent="0.3">
      <c r="A182" s="119">
        <v>1914</v>
      </c>
      <c r="B182" s="120">
        <v>0.85</v>
      </c>
      <c r="C182" s="115">
        <v>1.170182447605133</v>
      </c>
      <c r="D182" s="120">
        <v>0.81386800000000004</v>
      </c>
      <c r="E182" s="120">
        <v>0.58511999999999997</v>
      </c>
      <c r="F182" s="115">
        <v>0.85920130439612896</v>
      </c>
      <c r="G182" s="120">
        <v>-0.23800685679099587</v>
      </c>
      <c r="H182" s="116">
        <f t="shared" si="5"/>
        <v>7.4024186366408209</v>
      </c>
      <c r="I182" s="97">
        <f t="shared" si="6"/>
        <v>301.65344510845438</v>
      </c>
      <c r="J182" s="98">
        <f t="shared" si="4"/>
        <v>212.12824211455421</v>
      </c>
    </row>
    <row r="183" spans="1:10" s="119" customFormat="1" x14ac:dyDescent="0.3">
      <c r="A183" s="119">
        <v>1915</v>
      </c>
      <c r="B183" s="120">
        <v>0.83799999999999997</v>
      </c>
      <c r="C183" s="115">
        <v>1.1598162004928589</v>
      </c>
      <c r="D183" s="120">
        <v>0.83443200000000006</v>
      </c>
      <c r="E183" s="120">
        <v>0.59387499999999993</v>
      </c>
      <c r="F183" s="115">
        <v>0.60093106847183586</v>
      </c>
      <c r="G183" s="120">
        <v>-3.1421867978976836E-2</v>
      </c>
      <c r="H183" s="116">
        <f t="shared" si="5"/>
        <v>7.3204635020182609</v>
      </c>
      <c r="I183" s="97">
        <f t="shared" si="6"/>
        <v>308.97390861047262</v>
      </c>
      <c r="J183" s="98">
        <f t="shared" si="4"/>
        <v>219.44870561657245</v>
      </c>
    </row>
    <row r="184" spans="1:10" s="119" customFormat="1" x14ac:dyDescent="0.3">
      <c r="A184" s="119">
        <v>1916</v>
      </c>
      <c r="B184" s="120">
        <v>0.90100000000000002</v>
      </c>
      <c r="C184" s="115">
        <v>1.1512151975021361</v>
      </c>
      <c r="D184" s="120">
        <v>0.84609200000000007</v>
      </c>
      <c r="E184" s="120">
        <v>0.59699499999999994</v>
      </c>
      <c r="F184" s="115">
        <v>1.0249481104063967</v>
      </c>
      <c r="G184" s="120">
        <v>-0.41581991290426079</v>
      </c>
      <c r="H184" s="116">
        <f t="shared" si="5"/>
        <v>7.5197940871114088</v>
      </c>
      <c r="I184" s="97">
        <f t="shared" si="6"/>
        <v>316.49370269758401</v>
      </c>
      <c r="J184" s="98">
        <f t="shared" si="4"/>
        <v>226.96849970368385</v>
      </c>
    </row>
    <row r="185" spans="1:10" s="119" customFormat="1" x14ac:dyDescent="0.3">
      <c r="A185" s="119">
        <v>1917</v>
      </c>
      <c r="B185" s="120">
        <v>0.95499999999999996</v>
      </c>
      <c r="C185" s="115">
        <v>1.14626039932251</v>
      </c>
      <c r="D185" s="120">
        <v>0.84694000000000014</v>
      </c>
      <c r="E185" s="120">
        <v>0.60489999999999999</v>
      </c>
      <c r="F185" s="115">
        <v>1.6519315738759728</v>
      </c>
      <c r="G185" s="120">
        <v>-1.0025111745534627</v>
      </c>
      <c r="H185" s="116">
        <f t="shared" si="5"/>
        <v>7.6995071206660448</v>
      </c>
      <c r="I185" s="97">
        <f t="shared" si="6"/>
        <v>324.19320981825007</v>
      </c>
      <c r="J185" s="98">
        <f t="shared" si="4"/>
        <v>234.6680068243499</v>
      </c>
    </row>
    <row r="186" spans="1:10" s="119" customFormat="1" x14ac:dyDescent="0.3">
      <c r="A186" s="119">
        <v>1918</v>
      </c>
      <c r="B186" s="120">
        <v>0.93600000000000005</v>
      </c>
      <c r="C186" s="115">
        <v>1.1451221399116516</v>
      </c>
      <c r="D186" s="120">
        <v>0.83443200000000006</v>
      </c>
      <c r="E186" s="120">
        <v>0.61274499999999998</v>
      </c>
      <c r="F186" s="115">
        <v>0.87384509018122469</v>
      </c>
      <c r="G186" s="120">
        <v>-0.239899950269573</v>
      </c>
      <c r="H186" s="116">
        <f t="shared" si="5"/>
        <v>7.6257158514917354</v>
      </c>
      <c r="I186" s="97">
        <f t="shared" si="6"/>
        <v>331.81892566974182</v>
      </c>
      <c r="J186" s="98">
        <f t="shared" si="4"/>
        <v>242.29372267584165</v>
      </c>
    </row>
    <row r="187" spans="1:10" s="119" customFormat="1" x14ac:dyDescent="0.3">
      <c r="A187" s="119">
        <v>1919</v>
      </c>
      <c r="B187" s="120">
        <v>0.80600000000000005</v>
      </c>
      <c r="C187" s="115">
        <v>1.1453820692787171</v>
      </c>
      <c r="D187" s="120">
        <v>0.80793199999999998</v>
      </c>
      <c r="E187" s="120">
        <v>0.61600999999999995</v>
      </c>
      <c r="F187" s="115">
        <v>9.6541590089483154E-2</v>
      </c>
      <c r="G187" s="120">
        <v>0.43089847918923396</v>
      </c>
      <c r="H187" s="116">
        <f t="shared" si="5"/>
        <v>7.1503180388284058</v>
      </c>
      <c r="I187" s="97">
        <f t="shared" si="6"/>
        <v>338.96924370857022</v>
      </c>
      <c r="J187" s="98">
        <f t="shared" si="4"/>
        <v>249.44404071467005</v>
      </c>
    </row>
    <row r="188" spans="1:10" s="119" customFormat="1" x14ac:dyDescent="0.3">
      <c r="A188" s="119">
        <v>1920</v>
      </c>
      <c r="B188" s="120">
        <v>0.93200000000000005</v>
      </c>
      <c r="C188" s="115">
        <v>1.1973725366859436</v>
      </c>
      <c r="D188" s="120">
        <v>0.77422400000000013</v>
      </c>
      <c r="E188" s="120">
        <v>0.62373000000000001</v>
      </c>
      <c r="F188" s="115">
        <v>1.1117645180193778</v>
      </c>
      <c r="G188" s="120">
        <v>-0.38034598133343434</v>
      </c>
      <c r="H188" s="116">
        <f t="shared" si="5"/>
        <v>7.8025165343858705</v>
      </c>
      <c r="I188" s="97">
        <f t="shared" si="6"/>
        <v>346.77176024295608</v>
      </c>
      <c r="J188" s="98">
        <f t="shared" si="4"/>
        <v>257.24655724905591</v>
      </c>
    </row>
    <row r="189" spans="1:10" s="119" customFormat="1" x14ac:dyDescent="0.3">
      <c r="A189" s="119">
        <v>1921</v>
      </c>
      <c r="B189" s="120">
        <v>0.80300000000000005</v>
      </c>
      <c r="C189" s="115">
        <v>1.2268664293251039</v>
      </c>
      <c r="D189" s="120">
        <v>0.74793600000000005</v>
      </c>
      <c r="E189" s="120">
        <v>0.63178000000000001</v>
      </c>
      <c r="F189" s="115">
        <v>1.0764092394488682</v>
      </c>
      <c r="G189" s="120">
        <v>-0.42625881012376432</v>
      </c>
      <c r="H189" s="116">
        <f t="shared" si="5"/>
        <v>7.4379029993753756</v>
      </c>
      <c r="I189" s="97">
        <f t="shared" si="6"/>
        <v>354.20966324233143</v>
      </c>
      <c r="J189" s="98">
        <f t="shared" si="4"/>
        <v>264.68446024843126</v>
      </c>
    </row>
    <row r="190" spans="1:10" s="119" customFormat="1" x14ac:dyDescent="0.3">
      <c r="A190" s="119">
        <v>1922</v>
      </c>
      <c r="B190" s="120">
        <v>0.84499999999999997</v>
      </c>
      <c r="C190" s="115">
        <v>1.2504014556808469</v>
      </c>
      <c r="D190" s="120">
        <v>0.73182400000000003</v>
      </c>
      <c r="E190" s="120">
        <v>0.63432500000000003</v>
      </c>
      <c r="F190" s="115">
        <v>0.49026261576761698</v>
      </c>
      <c r="G190" s="120">
        <v>0.23898983991322964</v>
      </c>
      <c r="H190" s="116">
        <f t="shared" si="5"/>
        <v>7.6780385876355304</v>
      </c>
      <c r="I190" s="97">
        <f t="shared" si="6"/>
        <v>361.88770182996694</v>
      </c>
      <c r="J190" s="98">
        <f t="shared" si="4"/>
        <v>272.36249883606678</v>
      </c>
    </row>
    <row r="191" spans="1:10" s="119" customFormat="1" x14ac:dyDescent="0.3">
      <c r="A191" s="119">
        <v>1923</v>
      </c>
      <c r="B191" s="120">
        <v>0.97</v>
      </c>
      <c r="C191" s="115">
        <v>1.2612654401702881</v>
      </c>
      <c r="D191" s="120">
        <v>0.725464</v>
      </c>
      <c r="E191" s="120">
        <v>0.64222500000000005</v>
      </c>
      <c r="F191" s="115">
        <v>1.2872500787279682</v>
      </c>
      <c r="G191" s="120">
        <v>-0.42367363855768003</v>
      </c>
      <c r="H191" s="116">
        <f t="shared" si="5"/>
        <v>8.175875845861972</v>
      </c>
      <c r="I191" s="97">
        <f t="shared" si="6"/>
        <v>370.06357767582892</v>
      </c>
      <c r="J191" s="98">
        <f t="shared" si="4"/>
        <v>280.53837468192876</v>
      </c>
    </row>
    <row r="192" spans="1:10" s="119" customFormat="1" x14ac:dyDescent="0.3">
      <c r="A192" s="119">
        <v>1924</v>
      </c>
      <c r="B192" s="120">
        <v>0.96299999999999997</v>
      </c>
      <c r="C192" s="115">
        <v>1.2708217989616395</v>
      </c>
      <c r="D192" s="120">
        <v>0.72716000000000014</v>
      </c>
      <c r="E192" s="120">
        <v>0.64464500000000002</v>
      </c>
      <c r="F192" s="115">
        <v>0.43439235698638501</v>
      </c>
      <c r="G192" s="120">
        <v>0.42762444197525429</v>
      </c>
      <c r="H192" s="116">
        <f t="shared" si="5"/>
        <v>8.1852429394041764</v>
      </c>
      <c r="I192" s="97">
        <f t="shared" si="6"/>
        <v>378.24882061523311</v>
      </c>
      <c r="J192" s="98">
        <f t="shared" si="4"/>
        <v>288.72361762133295</v>
      </c>
    </row>
    <row r="193" spans="1:10" s="119" customFormat="1" x14ac:dyDescent="0.3">
      <c r="A193" s="119">
        <v>1925</v>
      </c>
      <c r="B193" s="120">
        <v>0.97499999999999998</v>
      </c>
      <c r="C193" s="115">
        <v>1.2775986498298644</v>
      </c>
      <c r="D193" s="120">
        <v>0.73224800000000001</v>
      </c>
      <c r="E193" s="120">
        <v>0.65195000000000003</v>
      </c>
      <c r="F193" s="115">
        <v>0.91791623042118853</v>
      </c>
      <c r="G193" s="120">
        <v>-4.9515580591324104E-2</v>
      </c>
      <c r="H193" s="116">
        <f t="shared" si="5"/>
        <v>8.254045690843359</v>
      </c>
      <c r="I193" s="97">
        <f t="shared" si="6"/>
        <v>386.5028663060765</v>
      </c>
      <c r="J193" s="98">
        <f t="shared" si="4"/>
        <v>296.97766331217633</v>
      </c>
    </row>
    <row r="194" spans="1:10" s="119" customFormat="1" x14ac:dyDescent="0.3">
      <c r="A194" s="119">
        <v>1926</v>
      </c>
      <c r="B194" s="120">
        <v>0.98299999999999998</v>
      </c>
      <c r="C194" s="115">
        <v>1.2818912838516234</v>
      </c>
      <c r="D194" s="120">
        <v>0.74454400000000009</v>
      </c>
      <c r="E194" s="120">
        <v>0.65408500000000003</v>
      </c>
      <c r="F194" s="115">
        <v>0.22350220504131765</v>
      </c>
      <c r="G194" s="120">
        <v>0.64276007881030572</v>
      </c>
      <c r="H194" s="116">
        <f t="shared" si="5"/>
        <v>8.2990887627124099</v>
      </c>
      <c r="I194" s="97">
        <f t="shared" si="6"/>
        <v>394.80195506878891</v>
      </c>
      <c r="J194" s="98">
        <f t="shared" si="4"/>
        <v>305.27675207488875</v>
      </c>
    </row>
    <row r="195" spans="1:10" s="119" customFormat="1" x14ac:dyDescent="0.3">
      <c r="A195" s="119">
        <v>1927</v>
      </c>
      <c r="B195" s="120">
        <v>1.0620000000000001</v>
      </c>
      <c r="C195" s="115">
        <v>1.2873289690093994</v>
      </c>
      <c r="D195" s="120">
        <v>0.76044400000000012</v>
      </c>
      <c r="E195" s="120">
        <v>0.65599500000000011</v>
      </c>
      <c r="F195" s="115">
        <v>1.0546651042064137</v>
      </c>
      <c r="G195" s="120">
        <v>-0.12177513519701422</v>
      </c>
      <c r="H195" s="116">
        <f t="shared" si="5"/>
        <v>8.6084880919599751</v>
      </c>
      <c r="I195" s="97">
        <f t="shared" si="6"/>
        <v>403.41044316074891</v>
      </c>
      <c r="J195" s="98">
        <f t="shared" si="4"/>
        <v>313.88524016684875</v>
      </c>
    </row>
    <row r="196" spans="1:10" s="119" customFormat="1" x14ac:dyDescent="0.3">
      <c r="A196" s="119">
        <v>1928</v>
      </c>
      <c r="B196" s="120">
        <v>1.0649999999999999</v>
      </c>
      <c r="C196" s="115">
        <v>1.2882040152816769</v>
      </c>
      <c r="D196" s="120">
        <v>0.77846400000000004</v>
      </c>
      <c r="E196" s="120">
        <v>0.66274499999999992</v>
      </c>
      <c r="F196" s="115">
        <v>0.26998630802535245</v>
      </c>
      <c r="G196" s="120">
        <v>0.64200870725632475</v>
      </c>
      <c r="H196" s="116">
        <f t="shared" si="5"/>
        <v>8.6226871633249189</v>
      </c>
      <c r="I196" s="97">
        <f t="shared" si="6"/>
        <v>412.03313032407385</v>
      </c>
      <c r="J196" s="98">
        <f t="shared" si="4"/>
        <v>322.50792733017369</v>
      </c>
    </row>
    <row r="197" spans="1:10" s="119" customFormat="1" x14ac:dyDescent="0.3">
      <c r="A197" s="119">
        <v>1929</v>
      </c>
      <c r="B197" s="120">
        <v>1.145</v>
      </c>
      <c r="C197" s="115">
        <v>1.2861565930023193</v>
      </c>
      <c r="D197" s="120">
        <v>0.78948800000000008</v>
      </c>
      <c r="E197" s="120">
        <v>0.6640299999999999</v>
      </c>
      <c r="F197" s="115">
        <v>0.50549363522513857</v>
      </c>
      <c r="G197" s="120">
        <v>0.47214495777718091</v>
      </c>
      <c r="H197" s="116">
        <f t="shared" si="5"/>
        <v>8.9083235496708824</v>
      </c>
      <c r="I197" s="97">
        <f t="shared" si="6"/>
        <v>420.94145387374476</v>
      </c>
      <c r="J197" s="98">
        <f t="shared" si="4"/>
        <v>331.4162508798446</v>
      </c>
    </row>
    <row r="198" spans="1:10" s="119" customFormat="1" x14ac:dyDescent="0.3">
      <c r="A198" s="119">
        <v>1930</v>
      </c>
      <c r="B198" s="120">
        <v>1.0529999999999999</v>
      </c>
      <c r="C198" s="115">
        <v>1.34874364138031</v>
      </c>
      <c r="D198" s="120">
        <v>0.79054800000000003</v>
      </c>
      <c r="E198" s="120">
        <v>0.66548499999999999</v>
      </c>
      <c r="F198" s="115">
        <v>0.76100376889726284</v>
      </c>
      <c r="G198" s="120">
        <v>0.18470687248304707</v>
      </c>
      <c r="H198" s="116">
        <f t="shared" si="5"/>
        <v>8.8005476497745718</v>
      </c>
      <c r="I198" s="97">
        <f t="shared" si="6"/>
        <v>429.74200152351932</v>
      </c>
      <c r="J198" s="98">
        <f t="shared" si="4"/>
        <v>340.21679852961915</v>
      </c>
    </row>
    <row r="199" spans="1:10" s="119" customFormat="1" x14ac:dyDescent="0.3">
      <c r="A199" s="119">
        <v>1931</v>
      </c>
      <c r="B199" s="120">
        <v>0.94</v>
      </c>
      <c r="C199" s="115">
        <v>1.3897156893959046</v>
      </c>
      <c r="D199" s="120">
        <v>0.78991200000000006</v>
      </c>
      <c r="E199" s="120">
        <v>0.66685499999999998</v>
      </c>
      <c r="F199" s="115">
        <v>-7.4492402561554399E-2</v>
      </c>
      <c r="G199" s="120">
        <v>0.94744109195745885</v>
      </c>
      <c r="H199" s="116">
        <f t="shared" si="5"/>
        <v>8.5366204709395586</v>
      </c>
      <c r="I199" s="97">
        <f t="shared" si="6"/>
        <v>438.27862199445889</v>
      </c>
      <c r="J199" s="98">
        <f t="shared" si="4"/>
        <v>348.75341900055872</v>
      </c>
    </row>
    <row r="200" spans="1:10" s="119" customFormat="1" x14ac:dyDescent="0.3">
      <c r="A200" s="119">
        <v>1932</v>
      </c>
      <c r="B200" s="120">
        <v>0.84699999999999998</v>
      </c>
      <c r="C200" s="115">
        <v>1.413317484764099</v>
      </c>
      <c r="D200" s="120">
        <v>0.78842800000000002</v>
      </c>
      <c r="E200" s="120">
        <v>0.67242000000000002</v>
      </c>
      <c r="F200" s="115">
        <v>0.70539832984710782</v>
      </c>
      <c r="G200" s="120">
        <v>9.4071154916990807E-2</v>
      </c>
      <c r="H200" s="116">
        <f t="shared" si="5"/>
        <v>8.2823292984145791</v>
      </c>
      <c r="I200" s="97">
        <f t="shared" si="6"/>
        <v>446.56095129287348</v>
      </c>
      <c r="J200" s="98">
        <f t="shared" si="4"/>
        <v>357.03574829897332</v>
      </c>
    </row>
    <row r="201" spans="1:10" s="119" customFormat="1" x14ac:dyDescent="0.3">
      <c r="A201" s="119">
        <v>1933</v>
      </c>
      <c r="B201" s="120">
        <v>0.89300000000000002</v>
      </c>
      <c r="C201" s="115">
        <v>1.4409780233917235</v>
      </c>
      <c r="D201" s="120">
        <v>0.78609600000000013</v>
      </c>
      <c r="E201" s="120">
        <v>0.67313999999999996</v>
      </c>
      <c r="F201" s="115">
        <v>0.57361988050071533</v>
      </c>
      <c r="G201" s="120">
        <v>0.30112214289100792</v>
      </c>
      <c r="H201" s="116">
        <f t="shared" si="5"/>
        <v>8.5522386546554099</v>
      </c>
      <c r="I201" s="97">
        <f t="shared" si="6"/>
        <v>455.11318994752889</v>
      </c>
      <c r="J201" s="98">
        <f t="shared" si="4"/>
        <v>365.58798695362873</v>
      </c>
    </row>
    <row r="202" spans="1:10" s="119" customFormat="1" x14ac:dyDescent="0.3">
      <c r="A202" s="119">
        <v>1934</v>
      </c>
      <c r="B202" s="120">
        <v>0.97299999999999998</v>
      </c>
      <c r="C202" s="115">
        <v>1.4604271120643615</v>
      </c>
      <c r="D202" s="120">
        <v>0.7820680000000001</v>
      </c>
      <c r="E202" s="120">
        <v>0.67356499999999997</v>
      </c>
      <c r="F202" s="115">
        <v>0.83092851561891479</v>
      </c>
      <c r="G202" s="120">
        <v>0.14686559644544639</v>
      </c>
      <c r="H202" s="116">
        <f t="shared" si="5"/>
        <v>8.9166432599226138</v>
      </c>
      <c r="I202" s="97">
        <f t="shared" si="6"/>
        <v>464.02983320745153</v>
      </c>
      <c r="J202" s="98">
        <f t="shared" si="4"/>
        <v>374.50463021355137</v>
      </c>
    </row>
    <row r="203" spans="1:10" s="119" customFormat="1" x14ac:dyDescent="0.3">
      <c r="A203" s="119">
        <v>1935</v>
      </c>
      <c r="B203" s="120">
        <v>1.0269999999999999</v>
      </c>
      <c r="C203" s="115">
        <v>1.4780763356781006</v>
      </c>
      <c r="D203" s="120">
        <v>0.77358800000000005</v>
      </c>
      <c r="E203" s="120">
        <v>0.67393499999999995</v>
      </c>
      <c r="F203" s="115">
        <v>0.57927061194755414</v>
      </c>
      <c r="G203" s="120">
        <v>0.47828272373054603</v>
      </c>
      <c r="H203" s="116">
        <f t="shared" si="5"/>
        <v>9.1791826898676341</v>
      </c>
      <c r="I203" s="97">
        <f t="shared" si="6"/>
        <v>473.20901589731915</v>
      </c>
      <c r="J203" s="98">
        <f t="shared" si="4"/>
        <v>383.68381290341898</v>
      </c>
    </row>
    <row r="204" spans="1:10" s="119" customFormat="1" x14ac:dyDescent="0.3">
      <c r="A204" s="119">
        <v>1936</v>
      </c>
      <c r="B204" s="120">
        <v>1.1299999999999999</v>
      </c>
      <c r="C204" s="115">
        <v>1.495995068698883</v>
      </c>
      <c r="D204" s="120">
        <v>0.75768800000000003</v>
      </c>
      <c r="E204" s="120">
        <v>0.673925</v>
      </c>
      <c r="F204" s="115">
        <v>0.36633636080924953</v>
      </c>
      <c r="G204" s="120">
        <v>0.82804570788963305</v>
      </c>
      <c r="H204" s="116">
        <f t="shared" si="5"/>
        <v>9.6222570685670128</v>
      </c>
      <c r="I204" s="97">
        <f t="shared" si="6"/>
        <v>482.83127296588617</v>
      </c>
      <c r="J204" s="98">
        <f t="shared" si="4"/>
        <v>393.30606997198601</v>
      </c>
    </row>
    <row r="205" spans="1:10" s="119" customFormat="1" x14ac:dyDescent="0.3">
      <c r="A205" s="119">
        <v>1937</v>
      </c>
      <c r="B205" s="120">
        <v>1.2090000000000001</v>
      </c>
      <c r="C205" s="115">
        <v>1.506227896461487</v>
      </c>
      <c r="D205" s="120">
        <v>0.73775999999999997</v>
      </c>
      <c r="E205" s="120">
        <v>0.67377500000000001</v>
      </c>
      <c r="F205" s="115">
        <v>0.41540240590348604</v>
      </c>
      <c r="G205" s="120">
        <v>0.88829049055800091</v>
      </c>
      <c r="H205" s="116">
        <f t="shared" si="5"/>
        <v>9.9492269162721598</v>
      </c>
      <c r="I205" s="97">
        <f t="shared" si="6"/>
        <v>492.78049988215832</v>
      </c>
      <c r="J205" s="98">
        <f t="shared" si="4"/>
        <v>403.25529688825816</v>
      </c>
    </row>
    <row r="206" spans="1:10" s="119" customFormat="1" x14ac:dyDescent="0.3">
      <c r="A206" s="119">
        <v>1938</v>
      </c>
      <c r="B206" s="120">
        <v>1.1419999999999999</v>
      </c>
      <c r="C206" s="115">
        <v>1.5132315152816771</v>
      </c>
      <c r="D206" s="120">
        <v>0.71338000000000013</v>
      </c>
      <c r="E206" s="120">
        <v>0.67342499999999994</v>
      </c>
      <c r="F206" s="115">
        <v>0.53496512586589895</v>
      </c>
      <c r="G206" s="120">
        <v>0.73346138941577799</v>
      </c>
      <c r="H206" s="116">
        <f t="shared" si="5"/>
        <v>9.7293862129223623</v>
      </c>
      <c r="I206" s="97">
        <f t="shared" si="6"/>
        <v>502.50988609508067</v>
      </c>
      <c r="J206" s="98">
        <f t="shared" si="4"/>
        <v>412.98468310118051</v>
      </c>
    </row>
    <row r="207" spans="1:10" s="119" customFormat="1" x14ac:dyDescent="0.3">
      <c r="A207" s="119">
        <v>1939</v>
      </c>
      <c r="B207" s="120">
        <v>1.1919999999999999</v>
      </c>
      <c r="C207" s="115">
        <v>1.5158448801040652</v>
      </c>
      <c r="D207" s="120">
        <v>0.67098000000000002</v>
      </c>
      <c r="E207" s="120">
        <v>0.67325499999999994</v>
      </c>
      <c r="F207" s="115">
        <v>1.2903216662009711</v>
      </c>
      <c r="G207" s="120">
        <v>7.3288213903093702E-2</v>
      </c>
      <c r="H207" s="116">
        <f t="shared" si="5"/>
        <v>9.9221738261200336</v>
      </c>
      <c r="I207" s="97">
        <f t="shared" si="6"/>
        <v>512.43205992120068</v>
      </c>
      <c r="J207" s="98">
        <f t="shared" si="4"/>
        <v>422.90685692730051</v>
      </c>
    </row>
    <row r="208" spans="1:10" s="119" customFormat="1" x14ac:dyDescent="0.3">
      <c r="A208" s="119">
        <v>1940</v>
      </c>
      <c r="B208" s="120">
        <v>1.2989999999999999</v>
      </c>
      <c r="C208" s="115">
        <v>1.5428479751052855</v>
      </c>
      <c r="D208" s="120">
        <v>0.60610799999999998</v>
      </c>
      <c r="E208" s="120">
        <v>0.67330500000000004</v>
      </c>
      <c r="F208" s="115">
        <v>1.0022599068968048</v>
      </c>
      <c r="G208" s="120">
        <v>0.56017506820848073</v>
      </c>
      <c r="H208" s="116">
        <f t="shared" si="5"/>
        <v>10.413192352184602</v>
      </c>
      <c r="I208" s="97">
        <f t="shared" si="6"/>
        <v>522.84525227338531</v>
      </c>
      <c r="J208" s="98">
        <f t="shared" si="4"/>
        <v>433.32004927948515</v>
      </c>
    </row>
    <row r="209" spans="1:10" s="119" customFormat="1" x14ac:dyDescent="0.3">
      <c r="A209" s="119">
        <v>1941</v>
      </c>
      <c r="B209" s="120">
        <v>1.3340000000000001</v>
      </c>
      <c r="C209" s="115">
        <v>1.5663489306869505</v>
      </c>
      <c r="D209" s="120">
        <v>0.52258000000000004</v>
      </c>
      <c r="E209" s="120">
        <v>0.6680299999999999</v>
      </c>
      <c r="F209" s="115">
        <v>0.35814468337756133</v>
      </c>
      <c r="G209" s="120">
        <v>1.3515942473093894</v>
      </c>
      <c r="H209" s="116">
        <f t="shared" si="5"/>
        <v>10.627553468118652</v>
      </c>
      <c r="I209" s="97">
        <f t="shared" si="6"/>
        <v>533.47280574150398</v>
      </c>
      <c r="J209" s="98">
        <f t="shared" ref="J209:J272" si="7">I209-($I$285-$J$285)</f>
        <v>443.94760274760381</v>
      </c>
    </row>
    <row r="210" spans="1:10" s="119" customFormat="1" x14ac:dyDescent="0.3">
      <c r="A210" s="119">
        <v>1942</v>
      </c>
      <c r="B210" s="120">
        <v>1.3420000000000001</v>
      </c>
      <c r="C210" s="115">
        <v>1.5615966454772949</v>
      </c>
      <c r="D210" s="120">
        <v>0.42930000000000007</v>
      </c>
      <c r="E210" s="120">
        <v>0.66835</v>
      </c>
      <c r="F210" s="115">
        <v>0.8452054321302418</v>
      </c>
      <c r="G210" s="120">
        <v>0.9607412133470532</v>
      </c>
      <c r="H210" s="116">
        <f t="shared" si="5"/>
        <v>10.63945385093756</v>
      </c>
      <c r="I210" s="97">
        <f t="shared" si="6"/>
        <v>544.11225959244155</v>
      </c>
      <c r="J210" s="98">
        <f t="shared" si="7"/>
        <v>454.58705659854138</v>
      </c>
    </row>
    <row r="211" spans="1:10" s="119" customFormat="1" x14ac:dyDescent="0.3">
      <c r="A211" s="119">
        <v>1943</v>
      </c>
      <c r="B211" s="120">
        <v>1.391</v>
      </c>
      <c r="C211" s="115">
        <v>1.55399248021698</v>
      </c>
      <c r="D211" s="120">
        <v>0.33390000000000003</v>
      </c>
      <c r="E211" s="120">
        <v>0.66884499999999991</v>
      </c>
      <c r="F211" s="115">
        <v>1.0722738404896135</v>
      </c>
      <c r="G211" s="120">
        <v>0.86997363972736674</v>
      </c>
      <c r="H211" s="116">
        <f t="shared" ref="H211:H274" si="8">(B211+C211)*44.01/12.0107</f>
        <v>10.791137823303329</v>
      </c>
      <c r="I211" s="97">
        <f t="shared" si="6"/>
        <v>554.90339741574485</v>
      </c>
      <c r="J211" s="98">
        <f t="shared" si="7"/>
        <v>465.37819442184468</v>
      </c>
    </row>
    <row r="212" spans="1:10" s="119" customFormat="1" x14ac:dyDescent="0.3">
      <c r="A212" s="119">
        <v>1944</v>
      </c>
      <c r="B212" s="120">
        <v>1.383</v>
      </c>
      <c r="C212" s="115">
        <v>1.5438885784912109</v>
      </c>
      <c r="D212" s="120">
        <v>0.25927600000000001</v>
      </c>
      <c r="E212" s="120">
        <v>0.66985000000000006</v>
      </c>
      <c r="F212" s="115">
        <v>4.6894992415419952E-2</v>
      </c>
      <c r="G212" s="120">
        <v>1.9508675860757909</v>
      </c>
      <c r="H212" s="116">
        <f t="shared" si="8"/>
        <v>10.724800914134745</v>
      </c>
      <c r="I212" s="97">
        <f t="shared" ref="I212:I275" si="9">I211+H212</f>
        <v>565.62819832987964</v>
      </c>
      <c r="J212" s="98">
        <f t="shared" si="7"/>
        <v>476.10299533597947</v>
      </c>
    </row>
    <row r="213" spans="1:10" s="119" customFormat="1" x14ac:dyDescent="0.3">
      <c r="A213" s="119">
        <v>1945</v>
      </c>
      <c r="B213" s="120">
        <v>1.1599999999999999</v>
      </c>
      <c r="C213" s="115">
        <v>1.5324888988189695</v>
      </c>
      <c r="D213" s="120">
        <v>0.21433199999999999</v>
      </c>
      <c r="E213" s="120">
        <v>0.67123500000000003</v>
      </c>
      <c r="F213" s="115">
        <v>0.59032005222005801</v>
      </c>
      <c r="G213" s="120">
        <v>1.2166018465989112</v>
      </c>
      <c r="H213" s="116">
        <f t="shared" si="8"/>
        <v>9.8659059369581161</v>
      </c>
      <c r="I213" s="97">
        <f t="shared" si="9"/>
        <v>575.49410426683778</v>
      </c>
      <c r="J213" s="98">
        <f t="shared" si="7"/>
        <v>485.96890127293761</v>
      </c>
    </row>
    <row r="214" spans="1:10" s="119" customFormat="1" x14ac:dyDescent="0.3">
      <c r="A214" s="119">
        <v>1946</v>
      </c>
      <c r="B214" s="120">
        <v>1.238</v>
      </c>
      <c r="C214" s="115">
        <v>1.5227885255661011</v>
      </c>
      <c r="D214" s="120">
        <v>0.203096</v>
      </c>
      <c r="E214" s="120">
        <v>0.67832499999999996</v>
      </c>
      <c r="F214" s="115">
        <v>0.37456492432550448</v>
      </c>
      <c r="G214" s="120">
        <v>1.5048026012405966</v>
      </c>
      <c r="H214" s="116">
        <f t="shared" si="8"/>
        <v>10.11617166444621</v>
      </c>
      <c r="I214" s="97">
        <f t="shared" si="9"/>
        <v>585.61027593128404</v>
      </c>
      <c r="J214" s="98">
        <f t="shared" si="7"/>
        <v>496.08507293738387</v>
      </c>
    </row>
    <row r="215" spans="1:10" s="119" customFormat="1" x14ac:dyDescent="0.3">
      <c r="A215" s="119">
        <v>1947</v>
      </c>
      <c r="B215" s="120">
        <v>1.3919999999999999</v>
      </c>
      <c r="C215" s="115">
        <v>1.5121013760299684</v>
      </c>
      <c r="D215" s="120">
        <v>0.21496800000000002</v>
      </c>
      <c r="E215" s="120">
        <v>0.68108499999999994</v>
      </c>
      <c r="F215" s="115">
        <v>1.0969846285494991</v>
      </c>
      <c r="G215" s="120">
        <v>0.91106374748046948</v>
      </c>
      <c r="H215" s="116">
        <f t="shared" si="8"/>
        <v>10.641303301146387</v>
      </c>
      <c r="I215" s="97">
        <f t="shared" si="9"/>
        <v>596.25157923243046</v>
      </c>
      <c r="J215" s="98">
        <f t="shared" si="7"/>
        <v>506.72637623853029</v>
      </c>
    </row>
    <row r="216" spans="1:10" s="119" customFormat="1" x14ac:dyDescent="0.3">
      <c r="A216" s="119">
        <v>1948</v>
      </c>
      <c r="B216" s="120">
        <v>1.4690000000000001</v>
      </c>
      <c r="C216" s="115">
        <v>1.4959903973312381</v>
      </c>
      <c r="D216" s="120">
        <v>0.24994800000000003</v>
      </c>
      <c r="E216" s="120">
        <v>0.68901999999999997</v>
      </c>
      <c r="F216" s="115">
        <v>1.0791771295724937</v>
      </c>
      <c r="G216" s="120">
        <v>0.94684526775874467</v>
      </c>
      <c r="H216" s="116">
        <f t="shared" si="8"/>
        <v>10.864414845641619</v>
      </c>
      <c r="I216" s="97">
        <f t="shared" si="9"/>
        <v>607.11599407807205</v>
      </c>
      <c r="J216" s="98">
        <f t="shared" si="7"/>
        <v>517.59079108417188</v>
      </c>
    </row>
    <row r="217" spans="1:10" s="119" customFormat="1" x14ac:dyDescent="0.3">
      <c r="A217" s="119">
        <v>1949</v>
      </c>
      <c r="B217" s="120">
        <v>1.419</v>
      </c>
      <c r="C217" s="115">
        <v>1.4705595436706544</v>
      </c>
      <c r="D217" s="120">
        <v>0.302948</v>
      </c>
      <c r="E217" s="120">
        <v>0.69307999999999992</v>
      </c>
      <c r="F217" s="115">
        <v>0.62285866721490279</v>
      </c>
      <c r="G217" s="120">
        <v>1.270672876455752</v>
      </c>
      <c r="H217" s="116">
        <f t="shared" si="8"/>
        <v>10.588018643122007</v>
      </c>
      <c r="I217" s="97">
        <f t="shared" si="9"/>
        <v>617.70401272119409</v>
      </c>
      <c r="J217" s="98">
        <f t="shared" si="7"/>
        <v>528.17880972729392</v>
      </c>
    </row>
    <row r="218" spans="1:10" s="119" customFormat="1" x14ac:dyDescent="0.3">
      <c r="A218" s="119">
        <v>1950</v>
      </c>
      <c r="B218" s="120">
        <v>1.63</v>
      </c>
      <c r="C218" s="115">
        <v>1.5504818186035154</v>
      </c>
      <c r="D218" s="120">
        <v>0.36209600000000003</v>
      </c>
      <c r="E218" s="120">
        <v>0.70254499999999998</v>
      </c>
      <c r="F218" s="115">
        <v>1.9701503347692122</v>
      </c>
      <c r="G218" s="120">
        <v>0.14569048383430294</v>
      </c>
      <c r="H218" s="116">
        <f t="shared" si="8"/>
        <v>11.654025563600847</v>
      </c>
      <c r="I218" s="97">
        <f t="shared" si="9"/>
        <v>629.35803828479493</v>
      </c>
      <c r="J218" s="98">
        <f t="shared" si="7"/>
        <v>539.83283529089476</v>
      </c>
    </row>
    <row r="219" spans="1:10" s="119" customFormat="1" x14ac:dyDescent="0.3">
      <c r="A219" s="119">
        <v>1951</v>
      </c>
      <c r="B219" s="120">
        <v>1.7669999999999999</v>
      </c>
      <c r="C219" s="115">
        <v>1.5980461957550052</v>
      </c>
      <c r="D219" s="120">
        <v>0.41848800000000003</v>
      </c>
      <c r="E219" s="120">
        <v>0.71233000000000002</v>
      </c>
      <c r="F219" s="115">
        <v>0.78505423507599326</v>
      </c>
      <c r="G219" s="120">
        <v>1.4491739606790117</v>
      </c>
      <c r="H219" s="116">
        <f t="shared" si="8"/>
        <v>12.330312394379824</v>
      </c>
      <c r="I219" s="97">
        <f t="shared" si="9"/>
        <v>641.68835067917473</v>
      </c>
      <c r="J219" s="98">
        <f t="shared" si="7"/>
        <v>552.16314768527457</v>
      </c>
    </row>
    <row r="220" spans="1:10" s="119" customFormat="1" x14ac:dyDescent="0.3">
      <c r="A220" s="119">
        <v>1952</v>
      </c>
      <c r="B220" s="120">
        <v>1.7949999999999999</v>
      </c>
      <c r="C220" s="115">
        <v>1.6171416026153564</v>
      </c>
      <c r="D220" s="120">
        <v>0.47933200000000004</v>
      </c>
      <c r="E220" s="120">
        <v>0.72839999999999994</v>
      </c>
      <c r="F220" s="115">
        <v>-0.15058791109551686</v>
      </c>
      <c r="G220" s="120">
        <v>2.3549975137108738</v>
      </c>
      <c r="H220" s="116">
        <f t="shared" si="8"/>
        <v>12.502880925433308</v>
      </c>
      <c r="I220" s="97">
        <f t="shared" si="9"/>
        <v>654.19123160460799</v>
      </c>
      <c r="J220" s="98">
        <f t="shared" si="7"/>
        <v>564.66602861070783</v>
      </c>
    </row>
    <row r="221" spans="1:10" s="119" customFormat="1" x14ac:dyDescent="0.3">
      <c r="A221" s="119">
        <v>1953</v>
      </c>
      <c r="B221" s="120">
        <v>1.841</v>
      </c>
      <c r="C221" s="115">
        <v>1.6445025572433469</v>
      </c>
      <c r="D221" s="120">
        <v>0.54738399999999998</v>
      </c>
      <c r="E221" s="120">
        <v>0.74463999999999997</v>
      </c>
      <c r="F221" s="115">
        <v>1.0200589072881063</v>
      </c>
      <c r="G221" s="120">
        <v>1.1734196499552405</v>
      </c>
      <c r="H221" s="116">
        <f t="shared" si="8"/>
        <v>12.77169253617855</v>
      </c>
      <c r="I221" s="97">
        <f t="shared" si="9"/>
        <v>666.96292414078653</v>
      </c>
      <c r="J221" s="98">
        <f t="shared" si="7"/>
        <v>577.43772114688636</v>
      </c>
    </row>
    <row r="222" spans="1:10" s="119" customFormat="1" x14ac:dyDescent="0.3">
      <c r="A222" s="119">
        <v>1954</v>
      </c>
      <c r="B222" s="120">
        <v>1.865</v>
      </c>
      <c r="C222" s="115">
        <v>1.6734604348068234</v>
      </c>
      <c r="D222" s="120">
        <v>0.62200800000000001</v>
      </c>
      <c r="E222" s="120">
        <v>0.75684499999999999</v>
      </c>
      <c r="F222" s="115">
        <v>0.89003661109790555</v>
      </c>
      <c r="G222" s="120">
        <v>1.2695708237089174</v>
      </c>
      <c r="H222" s="116">
        <f t="shared" si="8"/>
        <v>12.96574252423658</v>
      </c>
      <c r="I222" s="97">
        <f t="shared" si="9"/>
        <v>679.92866666502312</v>
      </c>
      <c r="J222" s="98">
        <f t="shared" si="7"/>
        <v>590.40346367112295</v>
      </c>
    </row>
    <row r="223" spans="1:10" s="119" customFormat="1" x14ac:dyDescent="0.3">
      <c r="A223" s="119">
        <v>1955</v>
      </c>
      <c r="B223" s="120">
        <v>2.0419999999999998</v>
      </c>
      <c r="C223" s="115">
        <v>1.6979964041442872</v>
      </c>
      <c r="D223" s="120">
        <v>0.69917600000000002</v>
      </c>
      <c r="E223" s="120">
        <v>0.76967000000000008</v>
      </c>
      <c r="F223" s="115">
        <v>1.9603433454120971</v>
      </c>
      <c r="G223" s="120">
        <v>0.31080705873218983</v>
      </c>
      <c r="H223" s="116">
        <f t="shared" si="8"/>
        <v>13.704217218512666</v>
      </c>
      <c r="I223" s="97">
        <f t="shared" si="9"/>
        <v>693.63288388353578</v>
      </c>
      <c r="J223" s="98">
        <f t="shared" si="7"/>
        <v>604.10768088963562</v>
      </c>
    </row>
    <row r="224" spans="1:10" s="119" customFormat="1" x14ac:dyDescent="0.3">
      <c r="A224" s="119">
        <v>1956</v>
      </c>
      <c r="B224" s="120">
        <v>2.177</v>
      </c>
      <c r="C224" s="115">
        <v>1.7299971008758543</v>
      </c>
      <c r="D224" s="120">
        <v>0.77443600000000001</v>
      </c>
      <c r="E224" s="120">
        <v>0.78329000000000004</v>
      </c>
      <c r="F224" s="115">
        <v>2.4645481318426437</v>
      </c>
      <c r="G224" s="120">
        <v>-0.11527703096678943</v>
      </c>
      <c r="H224" s="116">
        <f t="shared" si="8"/>
        <v>14.316146636711128</v>
      </c>
      <c r="I224" s="97">
        <f t="shared" si="9"/>
        <v>707.94903052024688</v>
      </c>
      <c r="J224" s="98">
        <f t="shared" si="7"/>
        <v>618.42382752634671</v>
      </c>
    </row>
    <row r="225" spans="1:10" s="119" customFormat="1" x14ac:dyDescent="0.3">
      <c r="A225" s="119">
        <v>1957</v>
      </c>
      <c r="B225" s="120">
        <v>2.27</v>
      </c>
      <c r="C225" s="115">
        <v>1.7569670255584715</v>
      </c>
      <c r="D225" s="120">
        <v>0.86983600000000005</v>
      </c>
      <c r="E225" s="120">
        <v>0.79296500000000003</v>
      </c>
      <c r="F225" s="115">
        <v>0.80026173981212778</v>
      </c>
      <c r="G225" s="120">
        <v>1.5639042857463434</v>
      </c>
      <c r="H225" s="116">
        <f t="shared" si="8"/>
        <v>14.755744360847274</v>
      </c>
      <c r="I225" s="97">
        <f t="shared" si="9"/>
        <v>722.70477488109418</v>
      </c>
      <c r="J225" s="98">
        <f t="shared" si="7"/>
        <v>633.17957188719402</v>
      </c>
    </row>
    <row r="226" spans="1:10" s="119" customFormat="1" x14ac:dyDescent="0.3">
      <c r="A226" s="119">
        <v>1958</v>
      </c>
      <c r="B226" s="120">
        <v>2.33</v>
      </c>
      <c r="C226" s="115">
        <v>1.7874720770492556</v>
      </c>
      <c r="D226" s="120">
        <v>1.01972</v>
      </c>
      <c r="E226" s="120">
        <v>0.80781499999999995</v>
      </c>
      <c r="F226" s="115">
        <v>5.0854943189086232E-2</v>
      </c>
      <c r="G226" s="120">
        <v>2.239082133860169</v>
      </c>
      <c r="H226" s="116">
        <f t="shared" si="8"/>
        <v>15.08737593237178</v>
      </c>
      <c r="I226" s="97">
        <f t="shared" si="9"/>
        <v>737.79215081346592</v>
      </c>
      <c r="J226" s="98">
        <f t="shared" si="7"/>
        <v>648.26694781956576</v>
      </c>
    </row>
    <row r="227" spans="1:10" s="119" customFormat="1" x14ac:dyDescent="0.3">
      <c r="A227" s="119">
        <v>1959</v>
      </c>
      <c r="B227" s="121">
        <v>2.4172400738251114</v>
      </c>
      <c r="C227" s="115">
        <v>1.8103646677017209</v>
      </c>
      <c r="D227" s="122">
        <v>2.0448</v>
      </c>
      <c r="E227" s="123">
        <v>0.75675935635274427</v>
      </c>
      <c r="F227" s="115">
        <v>0.56419688873486817</v>
      </c>
      <c r="G227" s="120">
        <v>0.86184849643921979</v>
      </c>
      <c r="H227" s="116">
        <f t="shared" si="8"/>
        <v>15.490927645732214</v>
      </c>
      <c r="I227" s="97">
        <f t="shared" si="9"/>
        <v>753.28307845919812</v>
      </c>
      <c r="J227" s="98">
        <f t="shared" si="7"/>
        <v>663.75787546529796</v>
      </c>
    </row>
    <row r="228" spans="1:10" s="119" customFormat="1" x14ac:dyDescent="0.3">
      <c r="A228" s="119">
        <v>1960</v>
      </c>
      <c r="B228" s="121">
        <v>2.5502242462290896</v>
      </c>
      <c r="C228" s="115">
        <v>1.6522492790985104</v>
      </c>
      <c r="D228" s="122">
        <v>1.5122999999999998</v>
      </c>
      <c r="E228" s="123">
        <v>0.79041432615516405</v>
      </c>
      <c r="F228" s="115">
        <v>1.3321507234237124</v>
      </c>
      <c r="G228" s="120">
        <v>0.56760847574872342</v>
      </c>
      <c r="H228" s="116">
        <f t="shared" si="8"/>
        <v>15.398841020895338</v>
      </c>
      <c r="I228" s="97">
        <f t="shared" si="9"/>
        <v>768.68191948009348</v>
      </c>
      <c r="J228" s="98">
        <f t="shared" si="7"/>
        <v>679.15671648619332</v>
      </c>
    </row>
    <row r="229" spans="1:10" s="119" customFormat="1" x14ac:dyDescent="0.3">
      <c r="A229" s="119">
        <v>1961</v>
      </c>
      <c r="B229" s="121">
        <v>2.5561831848758785</v>
      </c>
      <c r="C229" s="115">
        <v>1.5746800705947877</v>
      </c>
      <c r="D229" s="122">
        <v>1.6614</v>
      </c>
      <c r="E229" s="123">
        <v>0.68099017188572308</v>
      </c>
      <c r="F229" s="115">
        <v>0.6874263368926754</v>
      </c>
      <c r="G229" s="120">
        <v>1.1010467466922682</v>
      </c>
      <c r="H229" s="116">
        <f t="shared" si="8"/>
        <v>15.136444326580801</v>
      </c>
      <c r="I229" s="97">
        <f t="shared" si="9"/>
        <v>783.81836380667426</v>
      </c>
      <c r="J229" s="98">
        <f t="shared" si="7"/>
        <v>694.29316081277409</v>
      </c>
    </row>
    <row r="230" spans="1:10" s="119" customFormat="1" x14ac:dyDescent="0.3">
      <c r="A230" s="119">
        <v>1962</v>
      </c>
      <c r="B230" s="121">
        <v>2.6468975061055171</v>
      </c>
      <c r="C230" s="115">
        <v>1.5265188908233644</v>
      </c>
      <c r="D230" s="122">
        <v>1.1928000000000001</v>
      </c>
      <c r="E230" s="123">
        <v>0.7534451252065103</v>
      </c>
      <c r="F230" s="115">
        <v>1.3188295126637515</v>
      </c>
      <c r="G230" s="120">
        <v>0.90834175905861958</v>
      </c>
      <c r="H230" s="116">
        <f t="shared" si="8"/>
        <v>15.292368940098418</v>
      </c>
      <c r="I230" s="97">
        <f t="shared" si="9"/>
        <v>799.11073274677267</v>
      </c>
      <c r="J230" s="98">
        <f t="shared" si="7"/>
        <v>709.5855297528725</v>
      </c>
    </row>
    <row r="231" spans="1:10" s="119" customFormat="1" x14ac:dyDescent="0.3">
      <c r="A231" s="119">
        <v>1963</v>
      </c>
      <c r="B231" s="121">
        <v>2.7968058995296752</v>
      </c>
      <c r="C231" s="115">
        <v>1.4676559116210939</v>
      </c>
      <c r="D231" s="122">
        <v>1.2140999999999997</v>
      </c>
      <c r="E231" s="123">
        <v>0.88789198957972593</v>
      </c>
      <c r="F231" s="115">
        <v>1.0916832158520364</v>
      </c>
      <c r="G231" s="120">
        <v>1.0707866057190065</v>
      </c>
      <c r="H231" s="116">
        <f t="shared" si="8"/>
        <v>15.625980526426048</v>
      </c>
      <c r="I231" s="97">
        <f t="shared" si="9"/>
        <v>814.73671327319869</v>
      </c>
      <c r="J231" s="98">
        <f t="shared" si="7"/>
        <v>725.21151027929852</v>
      </c>
    </row>
    <row r="232" spans="1:10" s="119" customFormat="1" x14ac:dyDescent="0.3">
      <c r="A232" s="119">
        <v>1964</v>
      </c>
      <c r="B232" s="121">
        <v>2.9423055079237974</v>
      </c>
      <c r="C232" s="115">
        <v>1.4144130096282961</v>
      </c>
      <c r="D232" s="122">
        <v>1.0436999999999999</v>
      </c>
      <c r="E232" s="123">
        <v>1.0380866738943026</v>
      </c>
      <c r="F232" s="115">
        <v>1.4756043565460071</v>
      </c>
      <c r="G232" s="120">
        <v>0.79932748711178414</v>
      </c>
      <c r="H232" s="116">
        <f t="shared" si="8"/>
        <v>15.964030569198099</v>
      </c>
      <c r="I232" s="97">
        <f t="shared" si="9"/>
        <v>830.70074384239683</v>
      </c>
      <c r="J232" s="98">
        <f t="shared" si="7"/>
        <v>741.17554084849667</v>
      </c>
    </row>
    <row r="233" spans="1:10" s="119" customFormat="1" x14ac:dyDescent="0.3">
      <c r="A233" s="119">
        <v>1965</v>
      </c>
      <c r="B233" s="121">
        <v>3.0789781468609747</v>
      </c>
      <c r="C233" s="115">
        <v>1.3629055365295411</v>
      </c>
      <c r="D233" s="122">
        <v>2.343</v>
      </c>
      <c r="E233" s="123">
        <v>1.1720919397997829</v>
      </c>
      <c r="F233" s="115">
        <v>0.53549904595359232</v>
      </c>
      <c r="G233" s="120">
        <v>0.39129269763714036</v>
      </c>
      <c r="H233" s="116">
        <f t="shared" si="8"/>
        <v>16.276095556963089</v>
      </c>
      <c r="I233" s="97">
        <f t="shared" si="9"/>
        <v>846.97683939935996</v>
      </c>
      <c r="J233" s="98">
        <f t="shared" si="7"/>
        <v>757.45163640545979</v>
      </c>
    </row>
    <row r="234" spans="1:10" s="119" customFormat="1" x14ac:dyDescent="0.3">
      <c r="A234" s="119">
        <v>1966</v>
      </c>
      <c r="B234" s="121">
        <v>3.2221559974400984</v>
      </c>
      <c r="C234" s="115">
        <v>1.318462435020447</v>
      </c>
      <c r="D234" s="122">
        <v>2.343</v>
      </c>
      <c r="E234" s="123">
        <v>1.1491773176087159</v>
      </c>
      <c r="F234" s="115">
        <v>1.4333009114812132</v>
      </c>
      <c r="G234" s="120">
        <v>-0.38485979662938319</v>
      </c>
      <c r="H234" s="116">
        <f t="shared" si="8"/>
        <v>16.637882655681068</v>
      </c>
      <c r="I234" s="97">
        <f t="shared" si="9"/>
        <v>863.61472205504106</v>
      </c>
      <c r="J234" s="98">
        <f t="shared" si="7"/>
        <v>774.08951906114089</v>
      </c>
    </row>
    <row r="235" spans="1:10" s="119" customFormat="1" x14ac:dyDescent="0.3">
      <c r="A235" s="119">
        <v>1967</v>
      </c>
      <c r="B235" s="121">
        <v>3.3252846040177739</v>
      </c>
      <c r="C235" s="115">
        <v>1.2951815251235961</v>
      </c>
      <c r="D235" s="122">
        <v>1.2992999999999999</v>
      </c>
      <c r="E235" s="123">
        <v>0.96645567909081942</v>
      </c>
      <c r="F235" s="115">
        <v>1.6882888905689697</v>
      </c>
      <c r="G235" s="120">
        <v>0.66642155948158122</v>
      </c>
      <c r="H235" s="116">
        <f t="shared" si="8"/>
        <v>16.930463198940252</v>
      </c>
      <c r="I235" s="97">
        <f t="shared" si="9"/>
        <v>880.54518525398134</v>
      </c>
      <c r="J235" s="98">
        <f t="shared" si="7"/>
        <v>791.01998226008118</v>
      </c>
    </row>
    <row r="236" spans="1:10" s="119" customFormat="1" x14ac:dyDescent="0.3">
      <c r="A236" s="119">
        <v>1968</v>
      </c>
      <c r="B236" s="121">
        <v>3.5067761238166026</v>
      </c>
      <c r="C236" s="115">
        <v>1.2900534258308409</v>
      </c>
      <c r="D236" s="122">
        <v>2.1086999999999998</v>
      </c>
      <c r="E236" s="123">
        <v>1.0702799805086107</v>
      </c>
      <c r="F236" s="115">
        <v>2.4811281026337673</v>
      </c>
      <c r="G236" s="120">
        <v>-0.863278533494934</v>
      </c>
      <c r="H236" s="116">
        <f t="shared" si="8"/>
        <v>17.576699815996069</v>
      </c>
      <c r="I236" s="97">
        <f t="shared" si="9"/>
        <v>898.12188506997745</v>
      </c>
      <c r="J236" s="98">
        <f t="shared" si="7"/>
        <v>808.59668207607729</v>
      </c>
    </row>
    <row r="237" spans="1:10" s="119" customFormat="1" x14ac:dyDescent="0.3">
      <c r="A237" s="119">
        <v>1969</v>
      </c>
      <c r="B237" s="121">
        <v>3.7403430994601532</v>
      </c>
      <c r="C237" s="115">
        <v>1.2956680158958436</v>
      </c>
      <c r="D237" s="122">
        <v>2.8115999999999999</v>
      </c>
      <c r="E237" s="123">
        <v>1.1070527412052173</v>
      </c>
      <c r="F237" s="115">
        <v>0.51835353264591932</v>
      </c>
      <c r="G237" s="120">
        <v>0.59900484150486044</v>
      </c>
      <c r="H237" s="116">
        <f t="shared" si="8"/>
        <v>18.453116736478091</v>
      </c>
      <c r="I237" s="97">
        <f t="shared" si="9"/>
        <v>916.57500180645559</v>
      </c>
      <c r="J237" s="98">
        <f t="shared" si="7"/>
        <v>827.04979881255542</v>
      </c>
    </row>
    <row r="238" spans="1:10" s="119" customFormat="1" x14ac:dyDescent="0.3">
      <c r="A238" s="119">
        <v>1970</v>
      </c>
      <c r="B238" s="121">
        <v>4.0501253838046338</v>
      </c>
      <c r="C238" s="115">
        <v>1.2718244229698179</v>
      </c>
      <c r="D238" s="122">
        <v>2.4068999999999998</v>
      </c>
      <c r="E238" s="123">
        <v>1.0326191860743279</v>
      </c>
      <c r="F238" s="115">
        <v>0.42605140789011142</v>
      </c>
      <c r="G238" s="120">
        <v>1.4563792128100126</v>
      </c>
      <c r="H238" s="116">
        <f t="shared" si="8"/>
        <v>19.500862647151592</v>
      </c>
      <c r="I238" s="97">
        <f t="shared" si="9"/>
        <v>936.07586445360721</v>
      </c>
      <c r="J238" s="98">
        <f t="shared" si="7"/>
        <v>846.55066145970704</v>
      </c>
    </row>
    <row r="239" spans="1:10" s="119" customFormat="1" x14ac:dyDescent="0.3">
      <c r="A239" s="119">
        <v>1971</v>
      </c>
      <c r="B239" s="121">
        <v>4.2137199560476519</v>
      </c>
      <c r="C239" s="115">
        <v>1.2471406268081666</v>
      </c>
      <c r="D239" s="122">
        <v>1.5548999999999999</v>
      </c>
      <c r="E239" s="123">
        <v>1.1282789480476443</v>
      </c>
      <c r="F239" s="115">
        <v>2.5155912855511753</v>
      </c>
      <c r="G239" s="120">
        <v>0.26209034925699948</v>
      </c>
      <c r="H239" s="116">
        <f t="shared" si="8"/>
        <v>20.009864058837916</v>
      </c>
      <c r="I239" s="97">
        <f t="shared" si="9"/>
        <v>956.08572851244514</v>
      </c>
      <c r="J239" s="98">
        <f t="shared" si="7"/>
        <v>866.56052551854498</v>
      </c>
    </row>
    <row r="240" spans="1:10" s="119" customFormat="1" x14ac:dyDescent="0.3">
      <c r="A240" s="119">
        <v>1972</v>
      </c>
      <c r="B240" s="121">
        <v>4.4095791903626402</v>
      </c>
      <c r="C240" s="115">
        <v>1.2166603054695131</v>
      </c>
      <c r="D240" s="122">
        <v>3.1311</v>
      </c>
      <c r="E240" s="123">
        <v>1.3431401559696188</v>
      </c>
      <c r="F240" s="115">
        <v>1.1668274559269232</v>
      </c>
      <c r="G240" s="120">
        <v>-1.482811606438883E-2</v>
      </c>
      <c r="H240" s="116">
        <f t="shared" si="8"/>
        <v>20.615850883926253</v>
      </c>
      <c r="I240" s="97">
        <f t="shared" si="9"/>
        <v>976.70157939637136</v>
      </c>
      <c r="J240" s="98">
        <f t="shared" si="7"/>
        <v>887.17637640247119</v>
      </c>
    </row>
    <row r="241" spans="1:10" s="119" customFormat="1" x14ac:dyDescent="0.3">
      <c r="A241" s="119">
        <v>1973</v>
      </c>
      <c r="B241" s="121">
        <v>4.643900982190476</v>
      </c>
      <c r="C241" s="115">
        <v>1.193009380886078</v>
      </c>
      <c r="D241" s="122">
        <v>3.1097999999999999</v>
      </c>
      <c r="E241" s="123">
        <v>1.2994691357200221</v>
      </c>
      <c r="F241" s="115">
        <v>1.3942980896058654</v>
      </c>
      <c r="G241" s="120">
        <v>3.3343137750666774E-2</v>
      </c>
      <c r="H241" s="116">
        <f t="shared" si="8"/>
        <v>21.387797970059957</v>
      </c>
      <c r="I241" s="97">
        <f t="shared" si="9"/>
        <v>998.08937736643134</v>
      </c>
      <c r="J241" s="98">
        <f t="shared" si="7"/>
        <v>908.56417437253117</v>
      </c>
    </row>
    <row r="242" spans="1:10" s="119" customFormat="1" x14ac:dyDescent="0.3">
      <c r="A242" s="119">
        <v>1974</v>
      </c>
      <c r="B242" s="121">
        <v>4.6238224157374868</v>
      </c>
      <c r="C242" s="115">
        <v>1.158836985736847</v>
      </c>
      <c r="D242" s="122">
        <v>1.4484000000000001</v>
      </c>
      <c r="E242" s="123">
        <v>1.2351677165300707</v>
      </c>
      <c r="F242" s="115">
        <v>3.9276869106523442</v>
      </c>
      <c r="G242" s="120">
        <v>-0.82859522570808153</v>
      </c>
      <c r="H242" s="116">
        <f t="shared" si="8"/>
        <v>21.189009821149924</v>
      </c>
      <c r="I242" s="97">
        <f t="shared" si="9"/>
        <v>1019.2783871875813</v>
      </c>
      <c r="J242" s="98">
        <f t="shared" si="7"/>
        <v>929.75318419368114</v>
      </c>
    </row>
    <row r="243" spans="1:10" s="119" customFormat="1" x14ac:dyDescent="0.3">
      <c r="A243" s="119">
        <v>1975</v>
      </c>
      <c r="B243" s="121">
        <v>4.6179602930924197</v>
      </c>
      <c r="C243" s="115">
        <v>1.1360972407569885</v>
      </c>
      <c r="D243" s="122">
        <v>2.6198999999999999</v>
      </c>
      <c r="E243" s="123">
        <v>1.2310947850881488</v>
      </c>
      <c r="F243" s="115">
        <v>2.3945532132613923</v>
      </c>
      <c r="G243" s="120">
        <v>-0.49149046450013234</v>
      </c>
      <c r="H243" s="116">
        <f t="shared" si="8"/>
        <v>21.08420592177912</v>
      </c>
      <c r="I243" s="97">
        <f t="shared" si="9"/>
        <v>1040.3625931093604</v>
      </c>
      <c r="J243" s="98">
        <f t="shared" si="7"/>
        <v>950.83739011546027</v>
      </c>
    </row>
    <row r="244" spans="1:10" s="119" customFormat="1" x14ac:dyDescent="0.3">
      <c r="A244" s="119">
        <v>1976</v>
      </c>
      <c r="B244" s="121">
        <v>4.8629579433500423</v>
      </c>
      <c r="C244" s="115">
        <v>1.1212929113349914</v>
      </c>
      <c r="D244" s="122">
        <v>2.0661</v>
      </c>
      <c r="E244" s="123">
        <v>1.3210350069328811</v>
      </c>
      <c r="F244" s="115">
        <v>2.9827693832435078</v>
      </c>
      <c r="G244" s="120">
        <v>-0.38565353549135573</v>
      </c>
      <c r="H244" s="116">
        <f t="shared" si="8"/>
        <v>21.927687821250075</v>
      </c>
      <c r="I244" s="97">
        <f t="shared" si="9"/>
        <v>1062.2902809306106</v>
      </c>
      <c r="J244" s="98">
        <f t="shared" si="7"/>
        <v>972.76507793671044</v>
      </c>
    </row>
    <row r="245" spans="1:10" s="119" customFormat="1" x14ac:dyDescent="0.3">
      <c r="A245" s="119">
        <v>1977</v>
      </c>
      <c r="B245" s="121">
        <v>4.9964691666638146</v>
      </c>
      <c r="C245" s="115">
        <v>1.1031171265144351</v>
      </c>
      <c r="D245" s="122">
        <v>4.0895999999999999</v>
      </c>
      <c r="E245" s="123">
        <v>1.3981560213684689</v>
      </c>
      <c r="F245" s="115">
        <v>1.424957879101951</v>
      </c>
      <c r="G245" s="120">
        <v>-0.81312760729216982</v>
      </c>
      <c r="H245" s="116">
        <f t="shared" si="8"/>
        <v>22.350303709423663</v>
      </c>
      <c r="I245" s="97">
        <f t="shared" si="9"/>
        <v>1084.6405846400344</v>
      </c>
      <c r="J245" s="98">
        <f t="shared" si="7"/>
        <v>995.11538164613421</v>
      </c>
    </row>
    <row r="246" spans="1:10" s="119" customFormat="1" x14ac:dyDescent="0.3">
      <c r="A246" s="119">
        <v>1978</v>
      </c>
      <c r="B246" s="121">
        <v>5.179521322002933</v>
      </c>
      <c r="C246" s="115">
        <v>1.0659872129516601</v>
      </c>
      <c r="D246" s="122">
        <v>2.7477</v>
      </c>
      <c r="E246" s="123">
        <v>1.4373897022997912</v>
      </c>
      <c r="F246" s="115">
        <v>2.650031210556826</v>
      </c>
      <c r="G246" s="120">
        <v>-0.5896123779020237</v>
      </c>
      <c r="H246" s="116">
        <f t="shared" si="8"/>
        <v>22.884996763165478</v>
      </c>
      <c r="I246" s="97">
        <f t="shared" si="9"/>
        <v>1107.5255814031998</v>
      </c>
      <c r="J246" s="98">
        <f t="shared" si="7"/>
        <v>1018.0003784092996</v>
      </c>
    </row>
    <row r="247" spans="1:10" s="119" customFormat="1" x14ac:dyDescent="0.3">
      <c r="A247" s="119">
        <v>1979</v>
      </c>
      <c r="B247" s="121">
        <v>5.3176443229793167</v>
      </c>
      <c r="C247" s="115">
        <v>1.0386992796401979</v>
      </c>
      <c r="D247" s="122">
        <v>4.5582000000000003</v>
      </c>
      <c r="E247" s="123">
        <v>1.3563019686973874</v>
      </c>
      <c r="F247" s="115">
        <v>1.4442559019907575</v>
      </c>
      <c r="G247" s="120">
        <v>-1.002414268068631</v>
      </c>
      <c r="H247" s="116">
        <f t="shared" si="8"/>
        <v>23.291122245271698</v>
      </c>
      <c r="I247" s="97">
        <f t="shared" si="9"/>
        <v>1130.8167036484715</v>
      </c>
      <c r="J247" s="98">
        <f t="shared" si="7"/>
        <v>1041.2915006545713</v>
      </c>
    </row>
    <row r="248" spans="1:10" s="119" customFormat="1" x14ac:dyDescent="0.3">
      <c r="A248" s="119">
        <v>1980</v>
      </c>
      <c r="B248" s="121">
        <v>5.2922257893235827</v>
      </c>
      <c r="C248" s="115">
        <v>1.0849851625404361</v>
      </c>
      <c r="D248" s="122">
        <v>3.6209999999999996</v>
      </c>
      <c r="E248" s="123">
        <v>1.6288639862170988</v>
      </c>
      <c r="F248" s="115">
        <v>0.50110007159729164</v>
      </c>
      <c r="G248" s="120">
        <v>0.62624689404962852</v>
      </c>
      <c r="H248" s="116">
        <f t="shared" si="8"/>
        <v>23.367585069274515</v>
      </c>
      <c r="I248" s="97">
        <f t="shared" si="9"/>
        <v>1154.1842887177461</v>
      </c>
      <c r="J248" s="98">
        <f t="shared" si="7"/>
        <v>1064.6590857238459</v>
      </c>
    </row>
    <row r="249" spans="1:10" s="119" customFormat="1" x14ac:dyDescent="0.3">
      <c r="A249" s="119">
        <v>1981</v>
      </c>
      <c r="B249" s="121">
        <v>5.1485214966506714</v>
      </c>
      <c r="C249" s="115">
        <v>1.102055435045648</v>
      </c>
      <c r="D249" s="122">
        <v>2.4494999999999996</v>
      </c>
      <c r="E249" s="123">
        <v>1.6171852477813831</v>
      </c>
      <c r="F249" s="115">
        <v>2.2502952362113158</v>
      </c>
      <c r="G249" s="120">
        <v>-6.6403552296379509E-2</v>
      </c>
      <c r="H249" s="116">
        <f t="shared" si="8"/>
        <v>22.903568548373951</v>
      </c>
      <c r="I249" s="97">
        <f t="shared" si="9"/>
        <v>1177.08785726612</v>
      </c>
      <c r="J249" s="98">
        <f t="shared" si="7"/>
        <v>1087.5626542722198</v>
      </c>
    </row>
    <row r="250" spans="1:10" s="119" customFormat="1" x14ac:dyDescent="0.3">
      <c r="A250" s="119">
        <v>1982</v>
      </c>
      <c r="B250" s="121">
        <v>5.1103021304094369</v>
      </c>
      <c r="C250" s="115">
        <v>1.11744058761885</v>
      </c>
      <c r="D250" s="122">
        <v>2.13</v>
      </c>
      <c r="E250" s="123">
        <v>1.7025704274773776</v>
      </c>
      <c r="F250" s="115">
        <v>1.4935962345432092</v>
      </c>
      <c r="G250" s="120">
        <v>0.90157605600769997</v>
      </c>
      <c r="H250" s="116">
        <f t="shared" si="8"/>
        <v>22.81989867538319</v>
      </c>
      <c r="I250" s="97">
        <f t="shared" si="9"/>
        <v>1199.9077559415032</v>
      </c>
      <c r="J250" s="98">
        <f t="shared" si="7"/>
        <v>1110.382552947603</v>
      </c>
    </row>
    <row r="251" spans="1:10" s="119" customFormat="1" x14ac:dyDescent="0.3">
      <c r="A251" s="119">
        <v>1983</v>
      </c>
      <c r="B251" s="121">
        <v>5.1587482385146686</v>
      </c>
      <c r="C251" s="115">
        <v>1.1601088688595265</v>
      </c>
      <c r="D251" s="122">
        <v>3.9405000000000001</v>
      </c>
      <c r="E251" s="123">
        <v>1.8261309897537323</v>
      </c>
      <c r="F251" s="115">
        <v>0.22743127897780077</v>
      </c>
      <c r="G251" s="120">
        <v>0.32479483864266201</v>
      </c>
      <c r="H251" s="116">
        <f t="shared" si="8"/>
        <v>23.153763002617524</v>
      </c>
      <c r="I251" s="97">
        <f t="shared" si="9"/>
        <v>1223.0615189441207</v>
      </c>
      <c r="J251" s="98">
        <f t="shared" si="7"/>
        <v>1133.5363159502206</v>
      </c>
    </row>
    <row r="252" spans="1:10" s="119" customFormat="1" x14ac:dyDescent="0.3">
      <c r="A252" s="119">
        <v>1984</v>
      </c>
      <c r="B252" s="121">
        <v>5.3088640374220608</v>
      </c>
      <c r="C252" s="115">
        <v>1.1983848308555953</v>
      </c>
      <c r="D252" s="122">
        <v>2.6412</v>
      </c>
      <c r="E252" s="123">
        <v>1.695264433235798</v>
      </c>
      <c r="F252" s="115">
        <v>2.712689506913212</v>
      </c>
      <c r="G252" s="120">
        <v>-0.54190507187135317</v>
      </c>
      <c r="H252" s="116">
        <f t="shared" si="8"/>
        <v>23.844074258194745</v>
      </c>
      <c r="I252" s="97">
        <f t="shared" si="9"/>
        <v>1246.9055932023155</v>
      </c>
      <c r="J252" s="98">
        <f t="shared" si="7"/>
        <v>1157.3803902084153</v>
      </c>
    </row>
    <row r="253" spans="1:10" s="119" customFormat="1" x14ac:dyDescent="0.3">
      <c r="A253" s="119">
        <v>1985</v>
      </c>
      <c r="B253" s="121">
        <v>5.4979833725130769</v>
      </c>
      <c r="C253" s="115">
        <v>1.2182106482113499</v>
      </c>
      <c r="D253" s="122">
        <v>3.4506000000000001</v>
      </c>
      <c r="E253" s="123">
        <v>1.6487402646390399</v>
      </c>
      <c r="F253" s="115">
        <v>2.6505246947819563</v>
      </c>
      <c r="G253" s="120">
        <v>-1.0336709386965699</v>
      </c>
      <c r="H253" s="116">
        <f t="shared" si="8"/>
        <v>24.609697923691542</v>
      </c>
      <c r="I253" s="97">
        <f t="shared" si="9"/>
        <v>1271.515291126007</v>
      </c>
      <c r="J253" s="98">
        <f t="shared" si="7"/>
        <v>1181.9900881321068</v>
      </c>
    </row>
    <row r="254" spans="1:10" s="119" customFormat="1" x14ac:dyDescent="0.3">
      <c r="A254" s="119">
        <v>1986</v>
      </c>
      <c r="B254" s="121">
        <v>5.5762670621050612</v>
      </c>
      <c r="C254" s="115">
        <v>1.2537486936145836</v>
      </c>
      <c r="D254" s="122">
        <v>2.1726000000000001</v>
      </c>
      <c r="E254" s="123">
        <v>1.7291614223743013</v>
      </c>
      <c r="F254" s="115">
        <v>2.2062169941903242</v>
      </c>
      <c r="G254" s="120">
        <v>0.722037339155019</v>
      </c>
      <c r="H254" s="116">
        <f t="shared" si="8"/>
        <v>25.026767249970572</v>
      </c>
      <c r="I254" s="97">
        <f t="shared" si="9"/>
        <v>1296.5420583759776</v>
      </c>
      <c r="J254" s="98">
        <f t="shared" si="7"/>
        <v>1207.0168553820774</v>
      </c>
    </row>
    <row r="255" spans="1:10" s="119" customFormat="1" x14ac:dyDescent="0.3">
      <c r="A255" s="119">
        <v>1987</v>
      </c>
      <c r="B255" s="121">
        <v>5.7570508339376891</v>
      </c>
      <c r="C255" s="115">
        <v>1.2910954837219641</v>
      </c>
      <c r="D255" s="122">
        <v>5.7510000000000003</v>
      </c>
      <c r="E255" s="123">
        <v>1.8238169223802332</v>
      </c>
      <c r="F255" s="115">
        <v>0.42765513672047206</v>
      </c>
      <c r="G255" s="120">
        <v>-0.95432574144105231</v>
      </c>
      <c r="H255" s="116">
        <f t="shared" si="8"/>
        <v>25.826048393532545</v>
      </c>
      <c r="I255" s="97">
        <f t="shared" si="9"/>
        <v>1322.3681067695102</v>
      </c>
      <c r="J255" s="98">
        <f t="shared" si="7"/>
        <v>1232.84290377561</v>
      </c>
    </row>
    <row r="256" spans="1:10" s="119" customFormat="1" x14ac:dyDescent="0.3">
      <c r="A256" s="119">
        <v>1988</v>
      </c>
      <c r="B256" s="121">
        <v>5.9772678844113178</v>
      </c>
      <c r="C256" s="115">
        <v>1.3078038938081555</v>
      </c>
      <c r="D256" s="122">
        <v>4.7924999999999995</v>
      </c>
      <c r="E256" s="123">
        <v>1.7076668776062509</v>
      </c>
      <c r="F256" s="115">
        <v>1.9301991817889961</v>
      </c>
      <c r="G256" s="120">
        <v>-1.1452942811757734</v>
      </c>
      <c r="H256" s="116">
        <f t="shared" si="8"/>
        <v>26.694198419695688</v>
      </c>
      <c r="I256" s="97">
        <f t="shared" si="9"/>
        <v>1349.062305189206</v>
      </c>
      <c r="J256" s="98">
        <f t="shared" si="7"/>
        <v>1259.5371021953058</v>
      </c>
    </row>
    <row r="257" spans="1:10" s="119" customFormat="1" x14ac:dyDescent="0.3">
      <c r="A257" s="119">
        <v>1989</v>
      </c>
      <c r="B257" s="121">
        <v>6.0673264716739945</v>
      </c>
      <c r="C257" s="115">
        <v>1.334689309978933</v>
      </c>
      <c r="D257" s="122">
        <v>2.9393999999999996</v>
      </c>
      <c r="E257" s="123">
        <v>1.7017748351993545</v>
      </c>
      <c r="F257" s="115">
        <v>3.3625222839782061</v>
      </c>
      <c r="G257" s="120">
        <v>-0.60168133752463193</v>
      </c>
      <c r="H257" s="116">
        <f t="shared" si="8"/>
        <v>27.122708464164898</v>
      </c>
      <c r="I257" s="97">
        <f t="shared" si="9"/>
        <v>1376.1850136533708</v>
      </c>
      <c r="J257" s="98">
        <f t="shared" si="7"/>
        <v>1286.6598106594706</v>
      </c>
    </row>
    <row r="258" spans="1:10" s="119" customFormat="1" x14ac:dyDescent="0.3">
      <c r="A258" s="119">
        <v>1990</v>
      </c>
      <c r="B258" s="121">
        <v>6.200201951215436</v>
      </c>
      <c r="C258" s="115">
        <v>1.3082016196954749</v>
      </c>
      <c r="D258" s="122">
        <v>2.4920999999999998</v>
      </c>
      <c r="E258" s="123">
        <v>1.81633520767409</v>
      </c>
      <c r="F258" s="115">
        <v>2.2690388296035535</v>
      </c>
      <c r="G258" s="120">
        <v>0.93092953363326769</v>
      </c>
      <c r="H258" s="116">
        <f t="shared" si="8"/>
        <v>27.512538083191586</v>
      </c>
      <c r="I258" s="97">
        <f t="shared" si="9"/>
        <v>1403.6975517365624</v>
      </c>
      <c r="J258" s="98">
        <f t="shared" si="7"/>
        <v>1314.1723487426623</v>
      </c>
    </row>
    <row r="259" spans="1:10" s="119" customFormat="1" x14ac:dyDescent="0.3">
      <c r="A259" s="119">
        <v>1991</v>
      </c>
      <c r="B259" s="121">
        <v>6.329408588445987</v>
      </c>
      <c r="C259" s="115">
        <v>1.3066275181928075</v>
      </c>
      <c r="D259" s="122">
        <v>1.5761999999999998</v>
      </c>
      <c r="E259" s="123">
        <v>1.9089131013000855</v>
      </c>
      <c r="F259" s="115">
        <v>2.1942380496020868</v>
      </c>
      <c r="G259" s="120">
        <v>1.9566849557366219</v>
      </c>
      <c r="H259" s="116">
        <f t="shared" si="8"/>
        <v>27.980213397485024</v>
      </c>
      <c r="I259" s="97">
        <f t="shared" si="9"/>
        <v>1431.6777651340474</v>
      </c>
      <c r="J259" s="98">
        <f t="shared" si="7"/>
        <v>1342.1525621401472</v>
      </c>
    </row>
    <row r="260" spans="1:10" s="119" customFormat="1" x14ac:dyDescent="0.3">
      <c r="A260" s="119">
        <v>1992</v>
      </c>
      <c r="B260" s="121">
        <v>6.1316663330375301</v>
      </c>
      <c r="C260" s="115">
        <v>1.315199822421504</v>
      </c>
      <c r="D260" s="122">
        <v>1.4909999999999999</v>
      </c>
      <c r="E260" s="123">
        <v>2.0995610391101471</v>
      </c>
      <c r="F260" s="115">
        <v>2.0993218820449382</v>
      </c>
      <c r="G260" s="120">
        <v>1.7569832343039491</v>
      </c>
      <c r="H260" s="116">
        <f t="shared" si="8"/>
        <v>27.287050671630471</v>
      </c>
      <c r="I260" s="97">
        <f t="shared" si="9"/>
        <v>1458.9648158056777</v>
      </c>
      <c r="J260" s="98">
        <f t="shared" si="7"/>
        <v>1369.4396128117776</v>
      </c>
    </row>
    <row r="261" spans="1:10" s="119" customFormat="1" x14ac:dyDescent="0.3">
      <c r="A261" s="119">
        <v>1993</v>
      </c>
      <c r="B261" s="121">
        <v>6.1998773415566628</v>
      </c>
      <c r="C261" s="115">
        <v>1.3129400724348561</v>
      </c>
      <c r="D261" s="122">
        <v>2.6198999999999999</v>
      </c>
      <c r="E261" s="123">
        <v>2.0284261392754708</v>
      </c>
      <c r="F261" s="115">
        <v>2.8315064481490908</v>
      </c>
      <c r="G261" s="120">
        <v>3.2984826566957448E-2</v>
      </c>
      <c r="H261" s="116">
        <f t="shared" si="8"/>
        <v>27.52871143145418</v>
      </c>
      <c r="I261" s="97">
        <f t="shared" si="9"/>
        <v>1486.493527237132</v>
      </c>
      <c r="J261" s="98">
        <f t="shared" si="7"/>
        <v>1396.9683242432318</v>
      </c>
    </row>
    <row r="262" spans="1:10" s="119" customFormat="1" x14ac:dyDescent="0.3">
      <c r="A262" s="119">
        <v>1994</v>
      </c>
      <c r="B262" s="121">
        <v>6.2439463153321491</v>
      </c>
      <c r="C262" s="115">
        <v>1.3068212776166159</v>
      </c>
      <c r="D262" s="122">
        <v>3.5783999999999998</v>
      </c>
      <c r="E262" s="123">
        <v>1.9031101707607898</v>
      </c>
      <c r="F262" s="115">
        <v>1.4135870413530709</v>
      </c>
      <c r="G262" s="120">
        <v>0.6556703808349047</v>
      </c>
      <c r="H262" s="116">
        <f t="shared" si="8"/>
        <v>27.667769719140029</v>
      </c>
      <c r="I262" s="97">
        <f t="shared" si="9"/>
        <v>1514.1612969562721</v>
      </c>
      <c r="J262" s="98">
        <f t="shared" si="7"/>
        <v>1424.6360939623719</v>
      </c>
    </row>
    <row r="263" spans="1:10" s="119" customFormat="1" x14ac:dyDescent="0.3">
      <c r="A263" s="119">
        <v>1995</v>
      </c>
      <c r="B263" s="121">
        <v>6.378701601849551</v>
      </c>
      <c r="C263" s="115">
        <v>1.2920542120261045</v>
      </c>
      <c r="D263" s="122">
        <v>4.1534999999999993</v>
      </c>
      <c r="E263" s="123">
        <v>1.9078934974248101</v>
      </c>
      <c r="F263" s="115">
        <v>1.6927566913885332</v>
      </c>
      <c r="G263" s="120">
        <v>-8.3394374937687088E-2</v>
      </c>
      <c r="H263" s="116">
        <f t="shared" si="8"/>
        <v>28.107434484973201</v>
      </c>
      <c r="I263" s="97">
        <f t="shared" si="9"/>
        <v>1542.2687314412453</v>
      </c>
      <c r="J263" s="98">
        <f t="shared" si="7"/>
        <v>1452.7435284473452</v>
      </c>
    </row>
    <row r="264" spans="1:10" s="119" customFormat="1" x14ac:dyDescent="0.3">
      <c r="A264" s="119">
        <v>1996</v>
      </c>
      <c r="B264" s="121">
        <v>6.577389844519236</v>
      </c>
      <c r="C264" s="115">
        <v>1.265957577562467</v>
      </c>
      <c r="D264" s="122">
        <v>2.2578</v>
      </c>
      <c r="E264" s="123">
        <v>1.8597920487487767</v>
      </c>
      <c r="F264" s="115">
        <v>3.0555172582121437</v>
      </c>
      <c r="G264" s="120">
        <v>0.67023811512078257</v>
      </c>
      <c r="H264" s="116">
        <f t="shared" si="8"/>
        <v>28.739850303963607</v>
      </c>
      <c r="I264" s="97">
        <f t="shared" si="9"/>
        <v>1571.0085817452089</v>
      </c>
      <c r="J264" s="98">
        <f t="shared" si="7"/>
        <v>1481.4833787513087</v>
      </c>
    </row>
    <row r="265" spans="1:10" s="119" customFormat="1" x14ac:dyDescent="0.3">
      <c r="A265" s="119">
        <v>1997</v>
      </c>
      <c r="B265" s="121">
        <v>6.614872562488479</v>
      </c>
      <c r="C265" s="115">
        <v>1.7384025883469483</v>
      </c>
      <c r="D265" s="122">
        <v>4.1960999999999995</v>
      </c>
      <c r="E265" s="123">
        <v>1.9915423027060986</v>
      </c>
      <c r="F265" s="115">
        <v>3.1889207589982242</v>
      </c>
      <c r="G265" s="120">
        <v>-1.0232879108688944</v>
      </c>
      <c r="H265" s="116">
        <f t="shared" si="8"/>
        <v>30.608344175465806</v>
      </c>
      <c r="I265" s="97">
        <f t="shared" si="9"/>
        <v>1601.6169259206747</v>
      </c>
      <c r="J265" s="98">
        <f t="shared" si="7"/>
        <v>1512.0917229267745</v>
      </c>
    </row>
    <row r="266" spans="1:10" s="119" customFormat="1" x14ac:dyDescent="0.3">
      <c r="A266" s="119">
        <v>1998</v>
      </c>
      <c r="B266" s="121">
        <v>6.5911123805710128</v>
      </c>
      <c r="C266" s="115">
        <v>1.1874079700690245</v>
      </c>
      <c r="D266" s="122">
        <v>6.0065999999999997</v>
      </c>
      <c r="E266" s="123">
        <v>2.0926768298157978</v>
      </c>
      <c r="F266" s="115">
        <v>1.4328831326345317</v>
      </c>
      <c r="G266" s="120">
        <v>-1.7536396118102919</v>
      </c>
      <c r="H266" s="116">
        <f t="shared" si="8"/>
        <v>28.502308827268024</v>
      </c>
      <c r="I266" s="97">
        <f t="shared" si="9"/>
        <v>1630.1192347479428</v>
      </c>
      <c r="J266" s="98">
        <f t="shared" si="7"/>
        <v>1540.5940317540426</v>
      </c>
    </row>
    <row r="267" spans="1:10" s="119" customFormat="1" x14ac:dyDescent="0.3">
      <c r="A267" s="119">
        <v>1999</v>
      </c>
      <c r="B267" s="121">
        <v>6.6748141651790025</v>
      </c>
      <c r="C267" s="115">
        <v>1.1614055728039947</v>
      </c>
      <c r="D267" s="122">
        <v>2.9180999999999999</v>
      </c>
      <c r="E267" s="123">
        <v>1.9401277500186778</v>
      </c>
      <c r="F267" s="115">
        <v>3.3784653149450534</v>
      </c>
      <c r="G267" s="120">
        <v>-0.4004733269807339</v>
      </c>
      <c r="H267" s="116">
        <f t="shared" si="8"/>
        <v>28.713732810629828</v>
      </c>
      <c r="I267" s="97">
        <f t="shared" si="9"/>
        <v>1658.8329675585726</v>
      </c>
      <c r="J267" s="98">
        <f t="shared" si="7"/>
        <v>1569.3077645646724</v>
      </c>
    </row>
    <row r="268" spans="1:10" s="119" customFormat="1" x14ac:dyDescent="0.3">
      <c r="A268" s="119">
        <v>2000</v>
      </c>
      <c r="B268" s="121">
        <v>6.865272805444425</v>
      </c>
      <c r="C268" s="115">
        <v>1.3410948937358707</v>
      </c>
      <c r="D268" s="122">
        <v>2.6198999999999999</v>
      </c>
      <c r="E268" s="123">
        <v>1.9067543638866613</v>
      </c>
      <c r="F268" s="115">
        <v>3.7289923918723016</v>
      </c>
      <c r="G268" s="120">
        <v>-4.9279056578666491E-2</v>
      </c>
      <c r="H268" s="116">
        <f t="shared" si="8"/>
        <v>30.070041083444327</v>
      </c>
      <c r="I268" s="97">
        <f t="shared" si="9"/>
        <v>1688.9030086420169</v>
      </c>
      <c r="J268" s="98">
        <f t="shared" si="7"/>
        <v>1599.3778056481167</v>
      </c>
    </row>
    <row r="269" spans="1:10" s="119" customFormat="1" x14ac:dyDescent="0.3">
      <c r="A269" s="119">
        <v>2001</v>
      </c>
      <c r="B269" s="121">
        <v>6.9226207173081598</v>
      </c>
      <c r="C269" s="115">
        <v>1.2720478934579651</v>
      </c>
      <c r="D269" s="122">
        <v>3.8765999999999998</v>
      </c>
      <c r="E269" s="123">
        <v>1.8052898099762211</v>
      </c>
      <c r="F269" s="115">
        <v>2.3886606037071245</v>
      </c>
      <c r="G269" s="120">
        <v>0.12411819708278005</v>
      </c>
      <c r="H269" s="116">
        <f t="shared" si="8"/>
        <v>30.027172900814872</v>
      </c>
      <c r="I269" s="97">
        <f t="shared" si="9"/>
        <v>1718.9301815428316</v>
      </c>
      <c r="J269" s="98">
        <f t="shared" si="7"/>
        <v>1629.4049785489315</v>
      </c>
    </row>
    <row r="270" spans="1:10" s="119" customFormat="1" x14ac:dyDescent="0.3">
      <c r="A270" s="119">
        <v>2002</v>
      </c>
      <c r="B270" s="121">
        <v>7.0740758547469405</v>
      </c>
      <c r="C270" s="115">
        <v>1.4607478359042845</v>
      </c>
      <c r="D270" s="122">
        <v>5.0267999999999997</v>
      </c>
      <c r="E270" s="123">
        <v>2.1484370011238911</v>
      </c>
      <c r="F270" s="115">
        <v>1.0442285732433938</v>
      </c>
      <c r="G270" s="120">
        <v>0.31535811628393984</v>
      </c>
      <c r="H270" s="116">
        <f t="shared" si="8"/>
        <v>31.273580276383587</v>
      </c>
      <c r="I270" s="97">
        <f t="shared" si="9"/>
        <v>1750.2037618192153</v>
      </c>
      <c r="J270" s="98">
        <f t="shared" si="7"/>
        <v>1660.6785588253151</v>
      </c>
    </row>
    <row r="271" spans="1:10" s="119" customFormat="1" x14ac:dyDescent="0.3">
      <c r="A271" s="119">
        <v>2003</v>
      </c>
      <c r="B271" s="121">
        <v>7.4148367421892365</v>
      </c>
      <c r="C271" s="115">
        <v>1.5195797441245422</v>
      </c>
      <c r="D271" s="122">
        <v>4.8776999999999999</v>
      </c>
      <c r="E271" s="123">
        <v>2.2199446879287117</v>
      </c>
      <c r="F271" s="115">
        <v>2.2787733006802449</v>
      </c>
      <c r="G271" s="120">
        <v>-0.44200150229517732</v>
      </c>
      <c r="H271" s="116">
        <f t="shared" si="8"/>
        <v>32.737781275252019</v>
      </c>
      <c r="I271" s="97">
        <f t="shared" si="9"/>
        <v>1782.9415430944673</v>
      </c>
      <c r="J271" s="98">
        <f t="shared" si="7"/>
        <v>1693.4163401005671</v>
      </c>
    </row>
    <row r="272" spans="1:10" s="119" customFormat="1" x14ac:dyDescent="0.3">
      <c r="A272" s="119">
        <v>2004</v>
      </c>
      <c r="B272" s="121">
        <v>7.76319804088034</v>
      </c>
      <c r="C272" s="115">
        <v>1.4788124299299992</v>
      </c>
      <c r="D272" s="122">
        <v>3.3441000000000001</v>
      </c>
      <c r="E272" s="123">
        <v>2.1515235765430734</v>
      </c>
      <c r="F272" s="115">
        <v>3.4532177464367866</v>
      </c>
      <c r="G272" s="120">
        <v>0.29316914783047876</v>
      </c>
      <c r="H272" s="116">
        <f t="shared" si="8"/>
        <v>33.864877219509516</v>
      </c>
      <c r="I272" s="97">
        <f t="shared" si="9"/>
        <v>1816.8064203139768</v>
      </c>
      <c r="J272" s="98">
        <f t="shared" si="7"/>
        <v>1727.2812173200766</v>
      </c>
    </row>
    <row r="273" spans="1:11" s="119" customFormat="1" x14ac:dyDescent="0.3">
      <c r="A273" s="119">
        <v>2005</v>
      </c>
      <c r="B273" s="121">
        <v>8.0243176318479215</v>
      </c>
      <c r="C273" s="115">
        <v>1.3677681494228944</v>
      </c>
      <c r="D273" s="122">
        <v>5.1971999999999996</v>
      </c>
      <c r="E273" s="123">
        <v>2.2178022194736968</v>
      </c>
      <c r="F273" s="115">
        <v>1.8148522812574501</v>
      </c>
      <c r="G273" s="120">
        <v>0.1622312805396684</v>
      </c>
      <c r="H273" s="116">
        <f t="shared" si="8"/>
        <v>34.414788083436314</v>
      </c>
      <c r="I273" s="97">
        <f t="shared" si="9"/>
        <v>1851.2212083974132</v>
      </c>
      <c r="J273" s="98">
        <f t="shared" ref="J273:J283" si="10">I273-($I$285-$J$285)</f>
        <v>1761.696005403513</v>
      </c>
    </row>
    <row r="274" spans="1:11" s="119" customFormat="1" x14ac:dyDescent="0.3">
      <c r="A274" s="119">
        <v>2006</v>
      </c>
      <c r="B274" s="121">
        <v>8.2903047925045765</v>
      </c>
      <c r="C274" s="115">
        <v>1.4175660862200805</v>
      </c>
      <c r="D274" s="122">
        <v>3.7275</v>
      </c>
      <c r="E274" s="123">
        <v>2.2824450620290158</v>
      </c>
      <c r="F274" s="115">
        <v>3.0175581800482396</v>
      </c>
      <c r="G274" s="120">
        <v>0.68036763664740185</v>
      </c>
      <c r="H274" s="116">
        <f t="shared" si="8"/>
        <v>35.571898171852773</v>
      </c>
      <c r="I274" s="97">
        <f t="shared" si="9"/>
        <v>1886.793106569266</v>
      </c>
      <c r="J274" s="98">
        <f t="shared" si="10"/>
        <v>1797.2679035753658</v>
      </c>
    </row>
    <row r="275" spans="1:11" s="119" customFormat="1" x14ac:dyDescent="0.3">
      <c r="A275" s="119">
        <v>2007</v>
      </c>
      <c r="B275" s="121">
        <v>8.5377023814016564</v>
      </c>
      <c r="C275" s="115">
        <v>1.2356778988377015</v>
      </c>
      <c r="D275" s="122">
        <v>4.4729999999999999</v>
      </c>
      <c r="E275" s="123">
        <v>2.3167005515042169</v>
      </c>
      <c r="F275" s="115">
        <v>2.827420734565671</v>
      </c>
      <c r="G275" s="120">
        <v>0.15625899416947053</v>
      </c>
      <c r="H275" s="116">
        <f t="shared" ref="H275:H286" si="11">(B275+C275)*44.01/12.0107</f>
        <v>35.811939864731791</v>
      </c>
      <c r="I275" s="97">
        <f t="shared" si="9"/>
        <v>1922.6050464339978</v>
      </c>
      <c r="J275" s="98">
        <f t="shared" si="10"/>
        <v>1833.0798434400976</v>
      </c>
    </row>
    <row r="276" spans="1:11" s="119" customFormat="1" x14ac:dyDescent="0.3">
      <c r="A276" s="119">
        <v>2008</v>
      </c>
      <c r="B276" s="121">
        <v>8.7320954889180484</v>
      </c>
      <c r="C276" s="115">
        <v>1.2984873902839906</v>
      </c>
      <c r="D276" s="122">
        <v>3.7913999999999999</v>
      </c>
      <c r="E276" s="123">
        <v>2.2733577407005203</v>
      </c>
      <c r="F276" s="115">
        <v>3.5035954098575628</v>
      </c>
      <c r="G276" s="120">
        <v>0.46222972864395739</v>
      </c>
      <c r="H276" s="116">
        <f t="shared" si="11"/>
        <v>36.75439004501667</v>
      </c>
      <c r="I276" s="97">
        <f t="shared" ref="I276:I286" si="12">I275+H276</f>
        <v>1959.3594364790144</v>
      </c>
      <c r="J276" s="98">
        <f t="shared" si="10"/>
        <v>1869.8342334851143</v>
      </c>
    </row>
    <row r="277" spans="1:11" s="119" customFormat="1" x14ac:dyDescent="0.3">
      <c r="A277" s="119">
        <v>2009</v>
      </c>
      <c r="B277" s="121">
        <v>8.6059679997301757</v>
      </c>
      <c r="C277" s="115">
        <v>1.5042493428983335</v>
      </c>
      <c r="D277" s="122">
        <v>3.4293</v>
      </c>
      <c r="E277" s="123">
        <v>2.3359533262879113</v>
      </c>
      <c r="F277" s="115">
        <v>2.716046100161253</v>
      </c>
      <c r="G277" s="120">
        <v>1.6289179161793452</v>
      </c>
      <c r="H277" s="116">
        <f t="shared" si="11"/>
        <v>37.046189252007018</v>
      </c>
      <c r="I277" s="97">
        <f t="shared" si="12"/>
        <v>1996.4056257310215</v>
      </c>
      <c r="J277" s="98">
        <f t="shared" si="10"/>
        <v>1906.8804227371213</v>
      </c>
    </row>
    <row r="278" spans="1:11" s="119" customFormat="1" x14ac:dyDescent="0.3">
      <c r="A278" s="119">
        <v>2010</v>
      </c>
      <c r="B278" s="121">
        <v>9.0478138387496116</v>
      </c>
      <c r="C278" s="115">
        <v>1.3846450450935239</v>
      </c>
      <c r="D278" s="122">
        <v>5.1759000000000004</v>
      </c>
      <c r="E278" s="123">
        <v>2.3051098028771184</v>
      </c>
      <c r="F278" s="115">
        <v>3.1326589734526653</v>
      </c>
      <c r="G278" s="120">
        <v>-0.18120989248664809</v>
      </c>
      <c r="H278" s="116">
        <f t="shared" si="11"/>
        <v>38.22695725294416</v>
      </c>
      <c r="I278" s="97">
        <f t="shared" si="12"/>
        <v>2034.6325829839657</v>
      </c>
      <c r="J278" s="98">
        <f t="shared" si="10"/>
        <v>1945.1073799900655</v>
      </c>
    </row>
    <row r="279" spans="1:11" s="119" customFormat="1" x14ac:dyDescent="0.3">
      <c r="A279" s="119">
        <v>2011</v>
      </c>
      <c r="B279" s="120">
        <v>9.3535861492142534</v>
      </c>
      <c r="C279" s="115">
        <v>1.3420547092073853</v>
      </c>
      <c r="D279" s="122">
        <v>3.6209999999999996</v>
      </c>
      <c r="E279" s="123">
        <v>2.4274063426709778</v>
      </c>
      <c r="F279" s="115">
        <v>4.1303289487763202</v>
      </c>
      <c r="G279" s="120">
        <v>0.51690556697434076</v>
      </c>
      <c r="H279" s="116">
        <f t="shared" si="11"/>
        <v>39.191317257040495</v>
      </c>
      <c r="I279" s="97">
        <f t="shared" si="12"/>
        <v>2073.823900241006</v>
      </c>
      <c r="J279" s="98">
        <f t="shared" si="10"/>
        <v>1984.2986972471058</v>
      </c>
    </row>
    <row r="280" spans="1:11" s="119" customFormat="1" x14ac:dyDescent="0.3">
      <c r="A280" s="119">
        <v>2012</v>
      </c>
      <c r="B280" s="120">
        <v>9.4959305891408725</v>
      </c>
      <c r="C280" s="115">
        <v>1.4680351014342956</v>
      </c>
      <c r="D280" s="122">
        <v>5.0907</v>
      </c>
      <c r="E280" s="123">
        <v>2.4789846914245803</v>
      </c>
      <c r="F280" s="115">
        <v>2.5455872001153823</v>
      </c>
      <c r="G280" s="120">
        <v>0.84869379903520592</v>
      </c>
      <c r="H280" s="116">
        <f t="shared" si="11"/>
        <v>40.174521888167476</v>
      </c>
      <c r="I280" s="97">
        <f t="shared" si="12"/>
        <v>2113.9984221291734</v>
      </c>
      <c r="J280" s="98">
        <f t="shared" si="10"/>
        <v>2024.4732191352732</v>
      </c>
    </row>
    <row r="281" spans="1:11" s="119" customFormat="1" x14ac:dyDescent="0.3">
      <c r="A281" s="119">
        <v>2013</v>
      </c>
      <c r="B281" s="124">
        <v>9.5413283960298703</v>
      </c>
      <c r="C281" s="115">
        <v>1.5186219468021425</v>
      </c>
      <c r="D281" s="122">
        <v>5.1333000000000002</v>
      </c>
      <c r="E281" s="123">
        <v>2.5030312322156538</v>
      </c>
      <c r="F281" s="115">
        <v>3.2806814022852104</v>
      </c>
      <c r="G281" s="120">
        <v>0.14293770833114783</v>
      </c>
      <c r="H281" s="116">
        <f t="shared" si="11"/>
        <v>40.526231992143408</v>
      </c>
      <c r="I281" s="97">
        <f t="shared" si="12"/>
        <v>2154.5246541213169</v>
      </c>
      <c r="J281" s="98">
        <f t="shared" si="10"/>
        <v>2064.9994511274167</v>
      </c>
    </row>
    <row r="282" spans="1:11" s="119" customFormat="1" x14ac:dyDescent="0.3">
      <c r="A282" s="119">
        <v>2014</v>
      </c>
      <c r="B282" s="125">
        <v>9.6137657818165536</v>
      </c>
      <c r="C282" s="115">
        <v>1.6591507671770875</v>
      </c>
      <c r="D282" s="122">
        <v>4.3238999999999992</v>
      </c>
      <c r="E282" s="123">
        <v>2.5786925369700975</v>
      </c>
      <c r="F282" s="115">
        <v>3.7154105259627661</v>
      </c>
      <c r="G282" s="120">
        <v>0.65491348606077882</v>
      </c>
      <c r="H282" s="116">
        <f t="shared" si="11"/>
        <v>41.306589734254473</v>
      </c>
      <c r="I282" s="97">
        <f t="shared" si="12"/>
        <v>2195.8312438555713</v>
      </c>
      <c r="J282" s="98">
        <f t="shared" si="10"/>
        <v>2106.3060408616711</v>
      </c>
    </row>
    <row r="283" spans="1:11" x14ac:dyDescent="0.3">
      <c r="A283" s="119">
        <v>2015</v>
      </c>
      <c r="B283" s="125">
        <v>9.6175330071469016</v>
      </c>
      <c r="C283" s="115">
        <v>1.7035260804815064</v>
      </c>
      <c r="D283" s="122">
        <v>6.3261000000000003</v>
      </c>
      <c r="E283" s="123">
        <v>2.6402461457763735</v>
      </c>
      <c r="F283" s="115">
        <v>2.1955269493264575</v>
      </c>
      <c r="G283" s="120">
        <v>0.1591859925255763</v>
      </c>
      <c r="H283" s="116">
        <f t="shared" si="11"/>
        <v>41.482995199824003</v>
      </c>
      <c r="I283" s="97">
        <f t="shared" si="12"/>
        <v>2237.3142390553953</v>
      </c>
      <c r="J283" s="98">
        <f t="shared" si="10"/>
        <v>2147.7890360614952</v>
      </c>
    </row>
    <row r="284" spans="1:11" x14ac:dyDescent="0.3">
      <c r="A284" s="119">
        <v>2016</v>
      </c>
      <c r="B284" s="125">
        <v>9.6560272425605636</v>
      </c>
      <c r="C284" s="115">
        <v>1.5374064906759051</v>
      </c>
      <c r="D284" s="122">
        <v>6.0705</v>
      </c>
      <c r="E284" s="123">
        <v>2.6709636017982969</v>
      </c>
      <c r="F284" s="115">
        <v>2.7188237683803056</v>
      </c>
      <c r="G284" s="120">
        <v>-0.26685363694213482</v>
      </c>
      <c r="H284" s="116">
        <f t="shared" si="11"/>
        <v>41.015346199616751</v>
      </c>
      <c r="I284" s="97">
        <f t="shared" si="12"/>
        <v>2278.3295852550123</v>
      </c>
      <c r="J284" s="98">
        <f>I284-($I$285-$J$285)</f>
        <v>2188.8043822611121</v>
      </c>
    </row>
    <row r="285" spans="1:11" x14ac:dyDescent="0.3">
      <c r="A285" s="119">
        <v>2017</v>
      </c>
      <c r="B285" s="126">
        <v>9.7736074264315462</v>
      </c>
      <c r="C285" s="115">
        <v>1.4690239295435181</v>
      </c>
      <c r="D285" s="122">
        <v>4.5794999999999995</v>
      </c>
      <c r="E285" s="123">
        <v>2.5415545836363802</v>
      </c>
      <c r="F285" s="115">
        <v>3.582831985052934</v>
      </c>
      <c r="G285" s="120">
        <v>0.5387447872857507</v>
      </c>
      <c r="H285" s="116">
        <f t="shared" si="11"/>
        <v>41.195617738888039</v>
      </c>
      <c r="I285" s="97">
        <f t="shared" si="12"/>
        <v>2319.5252029939002</v>
      </c>
      <c r="J285" s="127">
        <v>2230</v>
      </c>
      <c r="K285" s="25" t="s">
        <v>582</v>
      </c>
    </row>
    <row r="286" spans="1:11" x14ac:dyDescent="0.3">
      <c r="A286" s="119">
        <v>2018</v>
      </c>
      <c r="B286" s="128">
        <v>9.9816468941534815</v>
      </c>
      <c r="C286" s="115">
        <v>1.5088491322183839</v>
      </c>
      <c r="D286" s="122">
        <v>5.1545999999999994</v>
      </c>
      <c r="E286" s="123">
        <v>2.6282498443698254</v>
      </c>
      <c r="F286" s="115">
        <v>3.4688283630895373</v>
      </c>
      <c r="G286" s="26">
        <v>0.23881781891250276</v>
      </c>
      <c r="H286" s="116">
        <f t="shared" si="11"/>
        <v>42.103851575730452</v>
      </c>
      <c r="I286" s="97">
        <f t="shared" si="12"/>
        <v>2361.6290545696306</v>
      </c>
      <c r="J286" s="98">
        <f>I286-($I$285-$J$285)</f>
        <v>2272.1038515757305</v>
      </c>
    </row>
    <row r="287" spans="1:11" x14ac:dyDescent="0.3">
      <c r="A287" s="119"/>
      <c r="B287" s="128"/>
      <c r="C287" s="123"/>
      <c r="D287" s="122"/>
      <c r="E287" s="129"/>
      <c r="F287" s="115"/>
      <c r="H287" s="122"/>
    </row>
    <row r="288" spans="1:11" s="119" customFormat="1" x14ac:dyDescent="0.3">
      <c r="B288" s="120"/>
      <c r="C288" s="120"/>
      <c r="D288" s="120"/>
      <c r="E288" s="120"/>
      <c r="F288" s="120"/>
      <c r="G288" s="120"/>
      <c r="H288" s="130"/>
      <c r="I288" s="131"/>
      <c r="J288" s="132"/>
    </row>
    <row r="290" spans="1:7" x14ac:dyDescent="0.3">
      <c r="B290" s="133"/>
      <c r="C290" s="133"/>
      <c r="D290" s="133"/>
      <c r="E290" s="133"/>
      <c r="F290" s="133"/>
      <c r="G290" s="133"/>
    </row>
    <row r="291" spans="1:7" x14ac:dyDescent="0.3">
      <c r="B291" s="133"/>
      <c r="C291" s="133"/>
      <c r="D291" s="133"/>
      <c r="E291" s="133"/>
      <c r="F291" s="133"/>
      <c r="G291" s="133"/>
    </row>
    <row r="292" spans="1:7" x14ac:dyDescent="0.3">
      <c r="B292" s="133"/>
      <c r="C292" s="133"/>
      <c r="D292" s="133"/>
      <c r="E292" s="133"/>
      <c r="F292" s="133"/>
      <c r="G292" s="133"/>
    </row>
    <row r="293" spans="1:7" x14ac:dyDescent="0.3">
      <c r="B293" s="133"/>
      <c r="C293" s="133"/>
      <c r="D293" s="133"/>
      <c r="E293" s="133"/>
      <c r="F293" s="133"/>
      <c r="G293" s="133"/>
    </row>
    <row r="294" spans="1:7" x14ac:dyDescent="0.3">
      <c r="B294" s="133"/>
      <c r="C294" s="133"/>
      <c r="D294" s="133"/>
      <c r="E294" s="133"/>
      <c r="F294" s="133"/>
      <c r="G294" s="133"/>
    </row>
    <row r="295" spans="1:7" x14ac:dyDescent="0.3">
      <c r="B295" s="133"/>
      <c r="C295" s="133"/>
      <c r="D295" s="133"/>
      <c r="E295" s="133"/>
      <c r="F295" s="133"/>
      <c r="G295" s="133"/>
    </row>
    <row r="298" spans="1:7" x14ac:dyDescent="0.3">
      <c r="A298" s="134"/>
      <c r="B298" s="134"/>
      <c r="C298" s="134"/>
    </row>
    <row r="299" spans="1:7" x14ac:dyDescent="0.3">
      <c r="A299" s="135"/>
      <c r="B299" s="136"/>
      <c r="C299" s="136"/>
    </row>
    <row r="300" spans="1:7" x14ac:dyDescent="0.3">
      <c r="A300" s="135"/>
      <c r="B300" s="136"/>
      <c r="C300" s="136"/>
    </row>
    <row r="301" spans="1:7" x14ac:dyDescent="0.3">
      <c r="A301" s="135"/>
      <c r="B301" s="136"/>
      <c r="C301" s="136"/>
    </row>
    <row r="302" spans="1:7" x14ac:dyDescent="0.3">
      <c r="A302" s="135"/>
      <c r="B302" s="136"/>
      <c r="C302" s="136"/>
    </row>
    <row r="303" spans="1:7" x14ac:dyDescent="0.3">
      <c r="A303" s="135"/>
      <c r="B303" s="136"/>
      <c r="C303" s="136"/>
    </row>
    <row r="304" spans="1:7" x14ac:dyDescent="0.3">
      <c r="A304" s="135"/>
      <c r="B304" s="136"/>
      <c r="C304" s="136"/>
    </row>
    <row r="305" spans="1:3" x14ac:dyDescent="0.3">
      <c r="A305" s="134"/>
      <c r="B305" s="137"/>
      <c r="C305" s="134"/>
    </row>
    <row r="306" spans="1:3" x14ac:dyDescent="0.3">
      <c r="A306" s="136"/>
      <c r="B306" s="136"/>
      <c r="C306" s="136"/>
    </row>
  </sheetData>
  <customSheetViews>
    <customSheetView guid="{19166E14-FA2C-4A8E-94B4-58FB50E3C2AB}" topLeftCell="A257">
      <pageMargins left="0.7" right="0.7" top="0.78740157499999996" bottom="0.78740157499999996" header="0.3" footer="0.3"/>
    </customSheetView>
    <customSheetView guid="{A04E2617-7092-4ACA-9C80-BFC49C4921F8}" topLeftCell="A257">
      <pageMargins left="0.7" right="0.7" top="0.78740157499999996" bottom="0.78740157499999996" header="0.3" footer="0.3"/>
    </customSheetView>
  </customSheetViews>
  <conditionalFormatting sqref="D227:D281">
    <cfRule type="cellIs" dxfId="0" priority="1" operator="equal">
      <formula>"NaN"</formula>
    </cfRule>
  </conditionalFormatting>
  <hyperlinks>
    <hyperlink ref="B11"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800-000000000000}"/>
    <hyperlink ref="A2" r:id="rId2" xr:uid="{00000000-0004-0000-0800-000001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control</vt:lpstr>
      <vt:lpstr>how to use</vt:lpstr>
      <vt:lpstr>scenarios</vt:lpstr>
      <vt:lpstr>data sources</vt:lpstr>
      <vt:lpstr>intermediates</vt:lpstr>
      <vt:lpstr>data</vt:lpstr>
      <vt:lpstr>evaluations</vt:lpstr>
      <vt:lpstr>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Andreas</cp:lastModifiedBy>
  <cp:lastPrinted>2021-02-09T09:51:43Z</cp:lastPrinted>
  <dcterms:created xsi:type="dcterms:W3CDTF">2020-03-21T09:59:53Z</dcterms:created>
  <dcterms:modified xsi:type="dcterms:W3CDTF">2022-09-19T17:27:30Z</dcterms:modified>
</cp:coreProperties>
</file>